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" l="1"/>
  <c r="J25" i="3"/>
  <c r="I25" i="3"/>
  <c r="H25" i="3"/>
  <c r="G25" i="3"/>
  <c r="R21" i="3"/>
  <c r="R20" i="3"/>
  <c r="Q21" i="3"/>
  <c r="Q20" i="3"/>
  <c r="P21" i="3"/>
  <c r="P20" i="3"/>
  <c r="O21" i="3"/>
  <c r="O20" i="3"/>
  <c r="L21" i="3"/>
  <c r="J21" i="3"/>
  <c r="I21" i="3"/>
  <c r="H21" i="3"/>
  <c r="H20" i="3"/>
  <c r="G21" i="3"/>
  <c r="G20" i="3"/>
  <c r="N21" i="2" l="1"/>
  <c r="K21" i="2"/>
  <c r="J21" i="2"/>
  <c r="G21" i="2"/>
  <c r="F21" i="2"/>
  <c r="P22" i="3" l="1"/>
  <c r="O22" i="3"/>
  <c r="M20" i="3" l="1"/>
  <c r="J20" i="3"/>
  <c r="I20" i="3"/>
  <c r="R26" i="3" l="1"/>
  <c r="Q26" i="3"/>
  <c r="N20" i="3" l="1"/>
  <c r="R23" i="3" l="1"/>
  <c r="R22" i="3"/>
  <c r="Q23" i="3"/>
  <c r="Q22" i="3"/>
  <c r="P23" i="3"/>
  <c r="O23" i="3"/>
  <c r="H23" i="3"/>
  <c r="G23" i="3"/>
  <c r="H22" i="3"/>
  <c r="G22" i="3"/>
  <c r="K20" i="3" l="1"/>
  <c r="L22" i="3" l="1"/>
  <c r="P25" i="3"/>
  <c r="O25" i="3"/>
  <c r="P24" i="3"/>
  <c r="O24" i="3"/>
  <c r="P28" i="3" l="1"/>
  <c r="O28" i="3"/>
  <c r="M28" i="3"/>
  <c r="M27" i="3"/>
  <c r="J27" i="3"/>
  <c r="I27" i="3"/>
  <c r="J28" i="3"/>
  <c r="I28" i="3"/>
  <c r="H28" i="3"/>
  <c r="G28" i="3"/>
  <c r="H27" i="3"/>
  <c r="G27" i="3"/>
  <c r="H24" i="3"/>
  <c r="G24" i="3"/>
  <c r="R24" i="3" l="1"/>
  <c r="Q24" i="3"/>
  <c r="L24" i="3"/>
  <c r="K24" i="3"/>
  <c r="J24" i="3"/>
  <c r="I24" i="3"/>
  <c r="R27" i="3" l="1"/>
  <c r="Q27" i="3"/>
  <c r="H30" i="3" l="1"/>
  <c r="G30" i="3"/>
  <c r="K21" i="3"/>
  <c r="R25" i="3" l="1"/>
  <c r="Q25" i="3"/>
  <c r="L20" i="3" l="1"/>
  <c r="J22" i="3"/>
  <c r="I22" i="3"/>
  <c r="L28" i="3" l="1"/>
  <c r="M26" i="3"/>
  <c r="J26" i="3"/>
  <c r="I26" i="3"/>
  <c r="H26" i="3"/>
  <c r="G26" i="3"/>
  <c r="M21" i="3"/>
  <c r="G26" i="2" l="1"/>
  <c r="F26" i="2"/>
  <c r="N29" i="2"/>
  <c r="L29" i="2"/>
  <c r="K29" i="2"/>
  <c r="J29" i="2"/>
  <c r="F29" i="2"/>
  <c r="G29" i="2"/>
  <c r="I21" i="2"/>
  <c r="H21" i="2"/>
  <c r="L23" i="2" l="1"/>
  <c r="H23" i="2"/>
  <c r="I23" i="2" l="1"/>
  <c r="G23" i="2"/>
  <c r="F23" i="2"/>
  <c r="L25" i="2" l="1"/>
  <c r="K23" i="2"/>
  <c r="J23" i="2"/>
  <c r="M21" i="2"/>
  <c r="L21" i="2"/>
  <c r="N23" i="2" l="1"/>
  <c r="I26" i="2" l="1"/>
  <c r="H26" i="2"/>
  <c r="K25" i="2" l="1"/>
  <c r="I25" i="2"/>
  <c r="H25" i="2"/>
  <c r="G25" i="2"/>
  <c r="F25" i="2"/>
  <c r="B24" i="3" l="1"/>
  <c r="N30" i="2" l="1"/>
  <c r="M30" i="2"/>
  <c r="L30" i="2"/>
  <c r="K30" i="2"/>
  <c r="J30" i="2"/>
  <c r="I30" i="2"/>
  <c r="H30" i="2"/>
  <c r="G30" i="2"/>
  <c r="F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<sst xmlns="http://schemas.openxmlformats.org/spreadsheetml/2006/main" count="127" uniqueCount="72">
  <si>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</si>
  <si>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</si>
  <si>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</si>
  <si>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</si>
  <si>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</si>
  <si>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</si>
  <si>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</si>
  <si>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</si>
  <si>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</si>
  <si>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</si>
  <si>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</si>
  <si>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</si>
  <si>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</si>
  <si>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</si>
  <si>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</si>
  <si>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</si>
  <si>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</si>
  <si>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</si>
  <si>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</si>
  <si>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</si>
  <si>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</si>
  <si>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</si>
  <si>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</si>
  <si>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</si>
  <si>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</si>
  <si>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</si>
  <si>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</si>
  <si>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</si>
  <si>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</si>
  <si>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</si>
  <si>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</si>
  <si>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</si>
  <si>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</si>
  <si>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</si>
  <si>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</si>
  <si>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</si>
  <si>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</si>
  <si>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</si>
  <si>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</si>
  <si>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</si>
  <si>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</si>
  <si>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</si>
  <si>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</si>
  <si>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</si>
  <si>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</si>
  <si>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</si>
  <si>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</si>
  <si>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</si>
  <si>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</si>
  <si>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</si>
  <si>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</si>
  <si>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</si>
  <si>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</si>
  <si>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</si>
  <si>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</si>
  <si>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</si>
  <si>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</si>
  <si>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</si>
  <si>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</si>
  <si>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</si>
  <si>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</si>
  <si>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</si>
  <si>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</si>
  <si>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</si>
  <si>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</si>
  <si>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</si>
  <si>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</si>
  <si>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</si>
  <si>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</si>
  <si>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                                                                               АО "Газпром газораспределение Краснодар"</t>
  </si>
  <si>
    <t>февраль</t>
  </si>
  <si>
    <t>февраль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</si>
</sst>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7" fillId="3" borderId="33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1" xfId="0" applyFont="1" applyBorder="1"/>
    <xf numFmtId="0" fontId="1" fillId="0" borderId="42" xfId="0" applyFont="1" applyBorder="1"/>
    <xf numFmtId="0" fontId="1" fillId="0" borderId="43" xfId="0" applyFont="1" applyBorder="1"/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1" fillId="0" borderId="35" xfId="0" applyFont="1" applyBorder="1" applyAlignment="1">
      <alignment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" fontId="7" fillId="3" borderId="28" xfId="0" applyNumberFormat="1" applyFont="1" applyFill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1" fontId="7" fillId="0" borderId="35" xfId="0" applyNumberFormat="1" applyFont="1" applyBorder="1" applyAlignment="1">
      <alignment horizontal="center" vertical="center"/>
    </xf>
    <xf numFmtId="1" fontId="7" fillId="3" borderId="26" xfId="0" applyNumberFormat="1" applyFont="1" applyFill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5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0" fontId="1" fillId="3" borderId="26" xfId="0" applyFont="1" applyFill="1" applyBorder="1"/>
    <xf numFmtId="0" fontId="1" fillId="3" borderId="28" xfId="0" applyFont="1" applyFill="1" applyBorder="1" applyAlignment="1">
      <alignment horizontal="left" vertical="center" wrapText="1"/>
    </xf>
    <xf numFmtId="0" fontId="1" fillId="3" borderId="28" xfId="0" applyFont="1" applyFill="1" applyBorder="1"/>
    <xf numFmtId="0" fontId="1" fillId="3" borderId="3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3" borderId="3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7" fillId="3" borderId="29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42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/>
    </xf>
    <xf numFmtId="1" fontId="7" fillId="0" borderId="4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4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" fontId="7" fillId="3" borderId="38" xfId="0" applyNumberFormat="1" applyFont="1" applyFill="1" applyBorder="1" applyAlignment="1">
      <alignment horizontal="center" vertical="center"/>
    </xf>
    <xf numFmtId="1" fontId="7" fillId="3" borderId="32" xfId="0" applyNumberFormat="1" applyFont="1" applyFill="1" applyBorder="1" applyAlignment="1">
      <alignment horizontal="center" vertical="center"/>
    </xf>
    <xf numFmtId="1" fontId="7" fillId="3" borderId="39" xfId="0" applyNumberFormat="1" applyFont="1" applyFill="1" applyBorder="1" applyAlignment="1">
      <alignment horizontal="center" vertical="center"/>
    </xf>
    <xf numFmtId="1" fontId="7" fillId="3" borderId="13" xfId="0" applyNumberFormat="1" applyFont="1" applyFill="1" applyBorder="1" applyAlignment="1">
      <alignment horizontal="center" vertical="center"/>
    </xf>
    <xf numFmtId="0" fontId="1" fillId="0" borderId="37" xfId="0" applyFont="1" applyBorder="1" applyAlignment="1"/>
    <xf numFmtId="0" fontId="1" fillId="0" borderId="39" xfId="0" applyFont="1" applyBorder="1" applyAlignment="1"/>
    <xf numFmtId="0" fontId="1" fillId="0" borderId="38" xfId="0" applyFont="1" applyBorder="1" applyAlignment="1"/>
    <xf numFmtId="0" fontId="1" fillId="0" borderId="46" xfId="0" applyFont="1" applyBorder="1" applyAlignment="1"/>
    <xf numFmtId="0" fontId="1" fillId="0" borderId="48" xfId="0" applyFont="1" applyBorder="1" applyAlignment="1"/>
    <xf numFmtId="0" fontId="1" fillId="0" borderId="47" xfId="0" applyFont="1" applyBorder="1" applyAlignment="1"/>
    <xf numFmtId="0" fontId="6" fillId="0" borderId="41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1" fillId="0" borderId="39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3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55" xfId="0" applyFont="1" applyBorder="1" applyAlignment="1"/>
    <xf numFmtId="0" fontId="1" fillId="0" borderId="36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textRotation="90"/>
    </xf>
    <xf numFmtId="0" fontId="7" fillId="2" borderId="45" xfId="0" applyFont="1" applyFill="1" applyBorder="1" applyAlignment="1">
      <alignment horizontal="center" textRotation="90"/>
    </xf>
    <xf numFmtId="0" fontId="7" fillId="2" borderId="3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7" fillId="2" borderId="63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textRotation="90"/>
    </xf>
    <xf numFmtId="0" fontId="7" fillId="2" borderId="12" xfId="0" applyFont="1" applyFill="1" applyBorder="1" applyAlignment="1">
      <alignment horizontal="center" textRotation="90"/>
    </xf>
    <xf numFmtId="0" fontId="7" fillId="2" borderId="13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O15" sqref="O15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05" t="s">
        <v>67</v>
      </c>
      <c r="C8" s="106"/>
      <c r="D8" s="106"/>
      <c r="E8" s="106"/>
      <c r="F8" s="106"/>
      <c r="G8" s="106"/>
      <c r="H8" s="106"/>
      <c r="I8" s="106"/>
      <c r="J8" s="106"/>
      <c r="K8" s="107"/>
    </row>
    <row r="9" spans="2:17" ht="19.5" customHeight="1" x14ac:dyDescent="0.25">
      <c r="B9" s="108" t="s">
        <v>54</v>
      </c>
      <c r="C9" s="109"/>
      <c r="D9" s="109"/>
      <c r="E9" s="109"/>
      <c r="F9" s="109"/>
      <c r="G9" s="109"/>
      <c r="H9" s="109"/>
      <c r="I9" s="109"/>
      <c r="J9" s="109"/>
      <c r="K9" s="110"/>
    </row>
    <row r="10" spans="2:17" ht="15.75" customHeight="1" x14ac:dyDescent="0.3">
      <c r="B10" s="111" t="s">
        <v>68</v>
      </c>
      <c r="C10" s="112"/>
      <c r="D10" s="112"/>
      <c r="E10" s="112"/>
      <c r="F10" s="112"/>
      <c r="G10" s="112"/>
      <c r="H10" s="112"/>
      <c r="I10" s="112"/>
      <c r="J10" s="112"/>
      <c r="K10" s="113"/>
    </row>
    <row r="11" spans="2:17" ht="18" x14ac:dyDescent="0.25">
      <c r="B11" s="114" t="s">
        <v>15</v>
      </c>
      <c r="C11" s="115"/>
      <c r="D11" s="115"/>
      <c r="E11" s="115"/>
      <c r="F11" s="115"/>
      <c r="G11" s="115"/>
      <c r="H11" s="115"/>
      <c r="I11" s="115"/>
      <c r="J11" s="115"/>
      <c r="K11" s="116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7" t="s">
        <v>0</v>
      </c>
      <c r="C15" s="117" t="s">
        <v>1</v>
      </c>
      <c r="D15" s="117"/>
      <c r="E15" s="117" t="s">
        <v>4</v>
      </c>
      <c r="F15" s="117"/>
      <c r="G15" s="117"/>
      <c r="H15" s="117" t="s">
        <v>5</v>
      </c>
      <c r="I15" s="117"/>
      <c r="J15" s="117" t="s">
        <v>6</v>
      </c>
      <c r="K15" s="117"/>
      <c r="L15" s="2"/>
      <c r="M15" s="2"/>
      <c r="N15" s="2"/>
      <c r="O15" s="2"/>
      <c r="P15" s="2"/>
      <c r="Q15" s="3"/>
    </row>
    <row r="16" spans="2:17" ht="70.5" customHeight="1" x14ac:dyDescent="0.25">
      <c r="B16" s="117"/>
      <c r="C16" s="117" t="s">
        <v>2</v>
      </c>
      <c r="D16" s="117" t="s">
        <v>3</v>
      </c>
      <c r="E16" s="117" t="s">
        <v>7</v>
      </c>
      <c r="F16" s="117"/>
      <c r="G16" s="117" t="s">
        <v>10</v>
      </c>
      <c r="H16" s="117" t="s">
        <v>11</v>
      </c>
      <c r="I16" s="117" t="s">
        <v>12</v>
      </c>
      <c r="J16" s="117" t="s">
        <v>13</v>
      </c>
      <c r="K16" s="117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7"/>
      <c r="C17" s="117"/>
      <c r="D17" s="117"/>
      <c r="E17" s="5" t="s">
        <v>8</v>
      </c>
      <c r="F17" s="5" t="s">
        <v>9</v>
      </c>
      <c r="G17" s="117"/>
      <c r="H17" s="117"/>
      <c r="I17" s="117"/>
      <c r="J17" s="117"/>
      <c r="K17" s="117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  <mergeCell ref="J15:K15"/>
    <mergeCell ref="J16:J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60" zoomScaleNormal="100" workbookViewId="0">
      <selection activeCell="M29" sqref="M21:M29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05" t="s">
        <v>65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5"/>
    </row>
    <row r="10" spans="2:14" ht="18" x14ac:dyDescent="0.25">
      <c r="B10" s="108" t="s">
        <v>64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7"/>
    </row>
    <row r="11" spans="2:14" ht="18.75" x14ac:dyDescent="0.3">
      <c r="B11" s="128" t="s">
        <v>66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2:14" ht="18" x14ac:dyDescent="0.25">
      <c r="B12" s="131" t="s">
        <v>38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3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8" t="s">
        <v>70</v>
      </c>
      <c r="N14" s="58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20" t="s">
        <v>16</v>
      </c>
      <c r="C16" s="120" t="s">
        <v>17</v>
      </c>
      <c r="D16" s="120"/>
      <c r="E16" s="135"/>
      <c r="F16" s="136" t="s">
        <v>18</v>
      </c>
      <c r="G16" s="137"/>
      <c r="H16" s="136" t="s">
        <v>21</v>
      </c>
      <c r="I16" s="137"/>
      <c r="J16" s="136" t="s">
        <v>22</v>
      </c>
      <c r="K16" s="138"/>
      <c r="L16" s="138"/>
      <c r="M16" s="138"/>
      <c r="N16" s="137"/>
    </row>
    <row r="17" spans="2:14" x14ac:dyDescent="0.25">
      <c r="B17" s="120"/>
      <c r="C17" s="120"/>
      <c r="D17" s="120"/>
      <c r="E17" s="135"/>
      <c r="F17" s="139" t="s">
        <v>19</v>
      </c>
      <c r="G17" s="121" t="s">
        <v>20</v>
      </c>
      <c r="H17" s="139" t="s">
        <v>19</v>
      </c>
      <c r="I17" s="121" t="s">
        <v>20</v>
      </c>
      <c r="J17" s="139" t="str">
        <f>F17</f>
        <v>количество</v>
      </c>
      <c r="K17" s="120" t="str">
        <f>I17</f>
        <v>объем, м3/час</v>
      </c>
      <c r="L17" s="120" t="s">
        <v>23</v>
      </c>
      <c r="M17" s="120"/>
      <c r="N17" s="121"/>
    </row>
    <row r="18" spans="2:14" ht="42.75" x14ac:dyDescent="0.25">
      <c r="B18" s="120"/>
      <c r="C18" s="120"/>
      <c r="D18" s="120"/>
      <c r="E18" s="135"/>
      <c r="F18" s="139"/>
      <c r="G18" s="121"/>
      <c r="H18" s="139"/>
      <c r="I18" s="121"/>
      <c r="J18" s="139"/>
      <c r="K18" s="120"/>
      <c r="L18" s="22" t="s">
        <v>24</v>
      </c>
      <c r="M18" s="22" t="s">
        <v>25</v>
      </c>
      <c r="N18" s="26" t="s">
        <v>26</v>
      </c>
    </row>
    <row r="19" spans="2:14" ht="15.75" thickBot="1" x14ac:dyDescent="0.3">
      <c r="B19" s="134"/>
      <c r="C19" s="134">
        <v>1</v>
      </c>
      <c r="D19" s="134"/>
      <c r="E19" s="140"/>
      <c r="F19" s="69">
        <v>2</v>
      </c>
      <c r="G19" s="70">
        <v>3</v>
      </c>
      <c r="H19" s="69">
        <v>4</v>
      </c>
      <c r="I19" s="70">
        <v>5</v>
      </c>
      <c r="J19" s="69">
        <v>6</v>
      </c>
      <c r="K19" s="24">
        <v>7</v>
      </c>
      <c r="L19" s="24">
        <v>8</v>
      </c>
      <c r="M19" s="24">
        <v>9</v>
      </c>
      <c r="N19" s="70">
        <v>10</v>
      </c>
    </row>
    <row r="20" spans="2:14" ht="15.75" thickBot="1" x14ac:dyDescent="0.3">
      <c r="B20" s="59">
        <v>1</v>
      </c>
      <c r="C20" s="141" t="s">
        <v>27</v>
      </c>
      <c r="D20" s="142"/>
      <c r="E20" s="143"/>
      <c r="F20" s="71"/>
      <c r="G20" s="72"/>
      <c r="H20" s="71"/>
      <c r="I20" s="72"/>
      <c r="J20" s="71"/>
      <c r="K20" s="73"/>
      <c r="L20" s="73"/>
      <c r="M20" s="73"/>
      <c r="N20" s="72"/>
    </row>
    <row r="21" spans="2:14" x14ac:dyDescent="0.25">
      <c r="B21" s="60">
        <v>2</v>
      </c>
      <c r="C21" s="144" t="s">
        <v>28</v>
      </c>
      <c r="D21" s="147" t="s">
        <v>31</v>
      </c>
      <c r="E21" s="63" t="s">
        <v>33</v>
      </c>
      <c r="F21" s="149">
        <f>14+1+4+12+7+3+11+12+2+21+20+26+25+1+1+13+1+50+7+1+7+7+16+1</f>
        <v>263</v>
      </c>
      <c r="G21" s="169">
        <f>70+4.5+19.44+60+261.5+14.7+50.68+58.8+10+82.2+72.63+113.57+111+5+5+50+3.08+250+25+5+24.74+27+80+8.8</f>
        <v>1412.6399999999999</v>
      </c>
      <c r="H21" s="149">
        <f>11+1+2+10+4+1+6+9+1+32+16+6+29+1+10+1+27+5+1+7+7+1+16</f>
        <v>204</v>
      </c>
      <c r="I21" s="169">
        <f>55+4.5+10+50+16.2+4.9+23.7+44.1+5+128.6+60.09+26.2+131+5+50+3.08+135+18+5+24.74+27+80</f>
        <v>907.11</v>
      </c>
      <c r="J21" s="149">
        <f>3+1+1+3+4+20+1+3+22+1</f>
        <v>59</v>
      </c>
      <c r="K21" s="171">
        <f>15+4.6+4+14.7+12.54+87.37+5+15+110+8.8</f>
        <v>277.01000000000005</v>
      </c>
      <c r="L21" s="122">
        <f>3+1+1+4+19+8</f>
        <v>36</v>
      </c>
      <c r="M21" s="122">
        <f>2+1</f>
        <v>3</v>
      </c>
      <c r="N21" s="151">
        <f>1+1+1+3+13+1</f>
        <v>20</v>
      </c>
    </row>
    <row r="22" spans="2:14" ht="30" x14ac:dyDescent="0.25">
      <c r="B22" s="61">
        <v>3</v>
      </c>
      <c r="C22" s="145"/>
      <c r="D22" s="148"/>
      <c r="E22" s="64" t="s">
        <v>34</v>
      </c>
      <c r="F22" s="150"/>
      <c r="G22" s="170"/>
      <c r="H22" s="150"/>
      <c r="I22" s="170"/>
      <c r="J22" s="150"/>
      <c r="K22" s="172"/>
      <c r="L22" s="123"/>
      <c r="M22" s="123"/>
      <c r="N22" s="152"/>
    </row>
    <row r="23" spans="2:14" x14ac:dyDescent="0.25">
      <c r="B23" s="61">
        <v>4</v>
      </c>
      <c r="C23" s="145"/>
      <c r="D23" s="153" t="s">
        <v>32</v>
      </c>
      <c r="E23" s="65" t="s">
        <v>33</v>
      </c>
      <c r="F23" s="155">
        <f>3+2+18+3+2+1+1+3+3</f>
        <v>36</v>
      </c>
      <c r="G23" s="157">
        <f>18+760.6+4695+14.3+6.2+23.36+28.1+14.75+7</f>
        <v>5567.31</v>
      </c>
      <c r="H23" s="159">
        <f>1+1+3+3+1+3+1</f>
        <v>13</v>
      </c>
      <c r="I23" s="161">
        <f>6+5+14.7+14.3+3.5+5+7</f>
        <v>55.5</v>
      </c>
      <c r="J23" s="159">
        <f>2+1+17+1+1+1</f>
        <v>23</v>
      </c>
      <c r="K23" s="163">
        <f>12+725.4+4695+23.36+28.1+5</f>
        <v>5488.86</v>
      </c>
      <c r="L23" s="165">
        <f>2+6+1</f>
        <v>9</v>
      </c>
      <c r="M23" s="165">
        <v>0</v>
      </c>
      <c r="N23" s="167">
        <f>1+11+1+1</f>
        <v>14</v>
      </c>
    </row>
    <row r="24" spans="2:14" ht="30.75" thickBot="1" x14ac:dyDescent="0.3">
      <c r="B24" s="62">
        <v>5</v>
      </c>
      <c r="C24" s="146"/>
      <c r="D24" s="154"/>
      <c r="E24" s="66" t="s">
        <v>34</v>
      </c>
      <c r="F24" s="156"/>
      <c r="G24" s="158"/>
      <c r="H24" s="160"/>
      <c r="I24" s="162"/>
      <c r="J24" s="160"/>
      <c r="K24" s="164"/>
      <c r="L24" s="166"/>
      <c r="M24" s="166"/>
      <c r="N24" s="168"/>
    </row>
    <row r="25" spans="2:14" ht="30" x14ac:dyDescent="0.25">
      <c r="B25" s="60">
        <v>6</v>
      </c>
      <c r="C25" s="144" t="s">
        <v>29</v>
      </c>
      <c r="D25" s="34" t="s">
        <v>31</v>
      </c>
      <c r="E25" s="67" t="s">
        <v>34</v>
      </c>
      <c r="F25" s="35">
        <f>2</f>
        <v>2</v>
      </c>
      <c r="G25" s="36">
        <f>12.58</f>
        <v>12.58</v>
      </c>
      <c r="H25" s="35">
        <f>1</f>
        <v>1</v>
      </c>
      <c r="I25" s="37">
        <f>3.58</f>
        <v>3.58</v>
      </c>
      <c r="J25" s="35">
        <v>2</v>
      </c>
      <c r="K25" s="38">
        <f>9</f>
        <v>9</v>
      </c>
      <c r="L25" s="39">
        <f>1</f>
        <v>1</v>
      </c>
      <c r="M25" s="39"/>
      <c r="N25" s="37">
        <v>1</v>
      </c>
    </row>
    <row r="26" spans="2:14" ht="30.75" thickBot="1" x14ac:dyDescent="0.3">
      <c r="B26" s="62">
        <v>7</v>
      </c>
      <c r="C26" s="146"/>
      <c r="D26" s="40" t="s">
        <v>32</v>
      </c>
      <c r="E26" s="68" t="s">
        <v>34</v>
      </c>
      <c r="F26" s="41">
        <f>1+1</f>
        <v>2</v>
      </c>
      <c r="G26" s="76">
        <f>28.6+119.93</f>
        <v>148.53</v>
      </c>
      <c r="H26" s="42">
        <f>1</f>
        <v>1</v>
      </c>
      <c r="I26" s="43">
        <f>28.6</f>
        <v>28.6</v>
      </c>
      <c r="J26" s="42"/>
      <c r="K26" s="44"/>
      <c r="L26" s="44"/>
      <c r="M26" s="44"/>
      <c r="N26" s="43"/>
    </row>
    <row r="27" spans="2:14" ht="30" x14ac:dyDescent="0.25">
      <c r="B27" s="60">
        <v>8</v>
      </c>
      <c r="C27" s="144" t="s">
        <v>30</v>
      </c>
      <c r="D27" s="34" t="s">
        <v>31</v>
      </c>
      <c r="E27" s="67" t="s">
        <v>34</v>
      </c>
      <c r="F27" s="35"/>
      <c r="G27" s="37"/>
      <c r="H27" s="35"/>
      <c r="I27" s="37"/>
      <c r="J27" s="35"/>
      <c r="K27" s="39"/>
      <c r="L27" s="39"/>
      <c r="M27" s="39"/>
      <c r="N27" s="37"/>
    </row>
    <row r="28" spans="2:14" ht="30.75" thickBot="1" x14ac:dyDescent="0.3">
      <c r="B28" s="62">
        <v>9</v>
      </c>
      <c r="C28" s="146"/>
      <c r="D28" s="40" t="s">
        <v>32</v>
      </c>
      <c r="E28" s="68" t="s">
        <v>34</v>
      </c>
      <c r="F28" s="42"/>
      <c r="G28" s="43"/>
      <c r="H28" s="42"/>
      <c r="I28" s="43"/>
      <c r="J28" s="42"/>
      <c r="K28" s="44"/>
      <c r="L28" s="44"/>
      <c r="M28" s="44"/>
      <c r="N28" s="43"/>
    </row>
    <row r="29" spans="2:14" ht="15.75" thickBot="1" x14ac:dyDescent="0.3">
      <c r="B29" s="60">
        <v>10</v>
      </c>
      <c r="C29" s="173" t="s">
        <v>35</v>
      </c>
      <c r="D29" s="174"/>
      <c r="E29" s="175"/>
      <c r="F29" s="49">
        <f>3</f>
        <v>3</v>
      </c>
      <c r="G29" s="81">
        <f>9477.66</f>
        <v>9477.66</v>
      </c>
      <c r="H29" s="49"/>
      <c r="I29" s="50"/>
      <c r="J29" s="49">
        <f>3</f>
        <v>3</v>
      </c>
      <c r="K29" s="82">
        <f>9477.66</f>
        <v>9477.66</v>
      </c>
      <c r="L29" s="51">
        <f>1</f>
        <v>1</v>
      </c>
      <c r="M29" s="51"/>
      <c r="N29" s="50">
        <f>2</f>
        <v>2</v>
      </c>
    </row>
    <row r="30" spans="2:14" ht="18.75" customHeight="1" thickBot="1" x14ac:dyDescent="0.3">
      <c r="B30" s="61">
        <v>11</v>
      </c>
      <c r="C30" s="176" t="s">
        <v>36</v>
      </c>
      <c r="D30" s="177"/>
      <c r="E30" s="178"/>
      <c r="F30" s="55">
        <f t="shared" ref="F30:N30" si="0">F21+F23+F25+F26+F27+F28+F29</f>
        <v>306</v>
      </c>
      <c r="G30" s="56">
        <f t="shared" si="0"/>
        <v>16618.72</v>
      </c>
      <c r="H30" s="55">
        <f t="shared" si="0"/>
        <v>219</v>
      </c>
      <c r="I30" s="56">
        <f t="shared" si="0"/>
        <v>994.79000000000008</v>
      </c>
      <c r="J30" s="55">
        <f t="shared" si="0"/>
        <v>87</v>
      </c>
      <c r="K30" s="57">
        <f t="shared" si="0"/>
        <v>15252.529999999999</v>
      </c>
      <c r="L30" s="57">
        <f t="shared" si="0"/>
        <v>47</v>
      </c>
      <c r="M30" s="57">
        <f t="shared" si="0"/>
        <v>3</v>
      </c>
      <c r="N30" s="56">
        <f t="shared" si="0"/>
        <v>37</v>
      </c>
    </row>
    <row r="31" spans="2:14" ht="15.75" thickBot="1" x14ac:dyDescent="0.3">
      <c r="B31" s="62">
        <v>12</v>
      </c>
      <c r="C31" s="179" t="s">
        <v>37</v>
      </c>
      <c r="D31" s="180"/>
      <c r="E31" s="181"/>
      <c r="F31" s="52"/>
      <c r="G31" s="53"/>
      <c r="H31" s="52"/>
      <c r="I31" s="53"/>
      <c r="J31" s="52"/>
      <c r="K31" s="54"/>
      <c r="L31" s="54"/>
      <c r="M31" s="54"/>
      <c r="N31" s="53"/>
    </row>
    <row r="45" spans="6:16" x14ac:dyDescent="0.25">
      <c r="F45" s="119"/>
      <c r="G45" s="118"/>
      <c r="H45" s="119"/>
      <c r="I45" s="118"/>
      <c r="J45" s="119"/>
      <c r="K45" s="118"/>
      <c r="L45" s="119"/>
      <c r="M45" s="119"/>
      <c r="N45" s="119"/>
      <c r="O45" s="45"/>
      <c r="P45" s="45"/>
    </row>
    <row r="46" spans="6:16" x14ac:dyDescent="0.25">
      <c r="F46" s="119"/>
      <c r="G46" s="118"/>
      <c r="H46" s="119"/>
      <c r="I46" s="118"/>
      <c r="J46" s="119"/>
      <c r="K46" s="118"/>
      <c r="L46" s="119"/>
      <c r="M46" s="119"/>
      <c r="N46" s="119"/>
      <c r="O46" s="45"/>
      <c r="P46" s="45"/>
    </row>
    <row r="47" spans="6:16" x14ac:dyDescent="0.25">
      <c r="F47" s="119"/>
      <c r="G47" s="118"/>
      <c r="H47" s="119"/>
      <c r="I47" s="118"/>
      <c r="J47" s="119"/>
      <c r="K47" s="118"/>
      <c r="L47" s="119"/>
      <c r="M47" s="119"/>
      <c r="N47" s="119"/>
      <c r="O47" s="45"/>
      <c r="P47" s="45"/>
    </row>
    <row r="48" spans="6:16" x14ac:dyDescent="0.25">
      <c r="F48" s="119"/>
      <c r="G48" s="118"/>
      <c r="H48" s="119"/>
      <c r="I48" s="118"/>
      <c r="J48" s="119"/>
      <c r="K48" s="118"/>
      <c r="L48" s="119"/>
      <c r="M48" s="119"/>
      <c r="N48" s="119"/>
      <c r="O48" s="45"/>
      <c r="P48" s="45"/>
    </row>
    <row r="49" spans="6:16" x14ac:dyDescent="0.25">
      <c r="F49" s="46"/>
      <c r="G49" s="47"/>
      <c r="H49" s="46"/>
      <c r="I49" s="46"/>
      <c r="J49" s="46"/>
      <c r="K49" s="47"/>
      <c r="L49" s="46"/>
      <c r="M49" s="46"/>
      <c r="N49" s="46"/>
      <c r="O49" s="45"/>
      <c r="P49" s="45"/>
    </row>
    <row r="50" spans="6:16" x14ac:dyDescent="0.25">
      <c r="F50" s="48"/>
      <c r="G50" s="48"/>
      <c r="H50" s="46"/>
      <c r="I50" s="46"/>
      <c r="J50" s="46"/>
      <c r="K50" s="46"/>
      <c r="L50" s="46"/>
      <c r="M50" s="46"/>
      <c r="N50" s="46"/>
      <c r="O50" s="45"/>
      <c r="P50" s="45"/>
    </row>
    <row r="51" spans="6:16" x14ac:dyDescent="0.25">
      <c r="F51" s="46"/>
      <c r="G51" s="46"/>
      <c r="H51" s="46"/>
      <c r="I51" s="46"/>
      <c r="J51" s="46"/>
      <c r="K51" s="46"/>
      <c r="L51" s="46"/>
      <c r="M51" s="46"/>
      <c r="N51" s="46"/>
      <c r="O51" s="45"/>
      <c r="P51" s="45"/>
    </row>
    <row r="52" spans="6:16" x14ac:dyDescent="0.25">
      <c r="F52" s="46"/>
      <c r="G52" s="46"/>
      <c r="H52" s="46"/>
      <c r="I52" s="46"/>
      <c r="J52" s="46"/>
      <c r="K52" s="46"/>
      <c r="L52" s="46"/>
      <c r="M52" s="46"/>
      <c r="N52" s="46"/>
      <c r="O52" s="45"/>
      <c r="P52" s="45"/>
    </row>
    <row r="53" spans="6:16" x14ac:dyDescent="0.25">
      <c r="F53" s="46"/>
      <c r="G53" s="46"/>
      <c r="H53" s="46"/>
      <c r="I53" s="46"/>
      <c r="J53" s="46"/>
      <c r="K53" s="46"/>
      <c r="L53" s="46"/>
      <c r="M53" s="46"/>
      <c r="N53" s="46"/>
      <c r="O53" s="45"/>
      <c r="P53" s="45"/>
    </row>
    <row r="54" spans="6:16" x14ac:dyDescent="0.25">
      <c r="F54" s="47"/>
      <c r="G54" s="47"/>
      <c r="H54" s="47"/>
      <c r="I54" s="47"/>
      <c r="J54" s="47"/>
      <c r="K54" s="47"/>
      <c r="L54" s="47"/>
      <c r="M54" s="47"/>
      <c r="N54" s="47"/>
      <c r="O54" s="45"/>
      <c r="P54" s="45"/>
    </row>
    <row r="55" spans="6:16" x14ac:dyDescent="0.25"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6:16" x14ac:dyDescent="0.25"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</sheetData>
  <mergeCells count="62">
    <mergeCell ref="C27:C28"/>
    <mergeCell ref="C29:E29"/>
    <mergeCell ref="C30:E30"/>
    <mergeCell ref="C31:E31"/>
    <mergeCell ref="H21:H22"/>
    <mergeCell ref="I21:I22"/>
    <mergeCell ref="J21:J22"/>
    <mergeCell ref="K21:K22"/>
    <mergeCell ref="C25:C26"/>
    <mergeCell ref="C20:E20"/>
    <mergeCell ref="C21:C24"/>
    <mergeCell ref="D21:D22"/>
    <mergeCell ref="F21:F22"/>
    <mergeCell ref="N21:N22"/>
    <mergeCell ref="D23:D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G21:G22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I45:I46"/>
    <mergeCell ref="J45:J46"/>
    <mergeCell ref="K17:K18"/>
    <mergeCell ref="L17:N17"/>
    <mergeCell ref="L21:L22"/>
    <mergeCell ref="M21:M22"/>
    <mergeCell ref="K45:K46"/>
    <mergeCell ref="L45:L46"/>
    <mergeCell ref="M45:M46"/>
    <mergeCell ref="N45:N46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F45:F46"/>
    <mergeCell ref="G45:G46"/>
    <mergeCell ref="H45:H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B7" zoomScale="60" zoomScaleNormal="100" workbookViewId="0">
      <selection activeCell="U26" sqref="U26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7" width="12.140625" customWidth="1"/>
    <col min="8" max="8" width="12.5703125" customWidth="1"/>
    <col min="10" max="10" width="13.7109375" customWidth="1"/>
    <col min="11" max="11" width="13.140625" customWidth="1"/>
    <col min="12" max="12" width="18.7109375" customWidth="1"/>
    <col min="13" max="13" width="14.28515625" customWidth="1"/>
    <col min="14" max="14" width="20.5703125" customWidth="1"/>
    <col min="15" max="16" width="11.5703125" customWidth="1"/>
    <col min="17" max="17" width="12.28515625" customWidth="1"/>
    <col min="18" max="18" width="13.28515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9" t="s">
        <v>69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1"/>
    </row>
    <row r="9" spans="3:18" ht="22.5" customHeight="1" x14ac:dyDescent="0.25">
      <c r="C9" s="202" t="s">
        <v>53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4"/>
    </row>
    <row r="10" spans="3:18" ht="22.5" customHeight="1" x14ac:dyDescent="0.3">
      <c r="C10" s="231" t="s">
        <v>66</v>
      </c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13"/>
      <c r="Q10" s="13"/>
      <c r="R10" s="14"/>
    </row>
    <row r="11" spans="3:18" ht="16.5" customHeight="1" x14ac:dyDescent="0.25">
      <c r="C11" s="233" t="s">
        <v>38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9" t="s">
        <v>70</v>
      </c>
      <c r="R13" s="80">
        <v>2020</v>
      </c>
    </row>
    <row r="14" spans="3:18" ht="12" customHeight="1" thickBot="1" x14ac:dyDescent="0.3">
      <c r="C14" s="7"/>
      <c r="Q14" s="104"/>
      <c r="R14" s="104"/>
    </row>
    <row r="15" spans="3:18" ht="42" customHeight="1" x14ac:dyDescent="0.25">
      <c r="C15" s="205" t="s">
        <v>16</v>
      </c>
      <c r="D15" s="207" t="s">
        <v>17</v>
      </c>
      <c r="E15" s="208"/>
      <c r="F15" s="209"/>
      <c r="G15" s="216" t="s">
        <v>43</v>
      </c>
      <c r="H15" s="217"/>
      <c r="I15" s="218" t="s">
        <v>44</v>
      </c>
      <c r="J15" s="219"/>
      <c r="K15" s="219"/>
      <c r="L15" s="219"/>
      <c r="M15" s="219"/>
      <c r="N15" s="220"/>
      <c r="O15" s="216" t="s">
        <v>45</v>
      </c>
      <c r="P15" s="217"/>
      <c r="Q15" s="216" t="s">
        <v>46</v>
      </c>
      <c r="R15" s="217"/>
    </row>
    <row r="16" spans="3:18" ht="15" customHeight="1" x14ac:dyDescent="0.25">
      <c r="C16" s="206"/>
      <c r="D16" s="210"/>
      <c r="E16" s="211"/>
      <c r="F16" s="212"/>
      <c r="G16" s="182" t="s">
        <v>19</v>
      </c>
      <c r="H16" s="221" t="s">
        <v>20</v>
      </c>
      <c r="I16" s="182" t="s">
        <v>19</v>
      </c>
      <c r="J16" s="240" t="s">
        <v>20</v>
      </c>
      <c r="K16" s="228" t="s">
        <v>42</v>
      </c>
      <c r="L16" s="229"/>
      <c r="M16" s="229"/>
      <c r="N16" s="230"/>
      <c r="O16" s="182" t="s">
        <v>19</v>
      </c>
      <c r="P16" s="221" t="s">
        <v>20</v>
      </c>
      <c r="Q16" s="182" t="s">
        <v>19</v>
      </c>
      <c r="R16" s="221" t="s">
        <v>20</v>
      </c>
    </row>
    <row r="17" spans="2:18" ht="15" customHeight="1" x14ac:dyDescent="0.25">
      <c r="C17" s="206"/>
      <c r="D17" s="210"/>
      <c r="E17" s="211"/>
      <c r="F17" s="212"/>
      <c r="G17" s="183"/>
      <c r="H17" s="222"/>
      <c r="I17" s="183"/>
      <c r="J17" s="241"/>
      <c r="K17" s="134" t="s">
        <v>41</v>
      </c>
      <c r="L17" s="225" t="s">
        <v>26</v>
      </c>
      <c r="M17" s="226"/>
      <c r="N17" s="227"/>
      <c r="O17" s="183"/>
      <c r="P17" s="222"/>
      <c r="Q17" s="183"/>
      <c r="R17" s="222"/>
    </row>
    <row r="18" spans="2:18" ht="87" customHeight="1" x14ac:dyDescent="0.25">
      <c r="C18" s="206"/>
      <c r="D18" s="213"/>
      <c r="E18" s="214"/>
      <c r="F18" s="215"/>
      <c r="G18" s="184"/>
      <c r="H18" s="223"/>
      <c r="I18" s="184"/>
      <c r="J18" s="242"/>
      <c r="K18" s="224"/>
      <c r="L18" s="22" t="s">
        <v>39</v>
      </c>
      <c r="M18" s="22" t="s">
        <v>63</v>
      </c>
      <c r="N18" s="26" t="s">
        <v>40</v>
      </c>
      <c r="O18" s="184"/>
      <c r="P18" s="223"/>
      <c r="Q18" s="184"/>
      <c r="R18" s="223"/>
    </row>
    <row r="19" spans="2:18" s="7" customFormat="1" ht="15.75" thickBot="1" x14ac:dyDescent="0.3">
      <c r="C19" s="206"/>
      <c r="D19" s="235">
        <v>1</v>
      </c>
      <c r="E19" s="236"/>
      <c r="F19" s="237"/>
      <c r="G19" s="98">
        <v>2</v>
      </c>
      <c r="H19" s="99">
        <v>3</v>
      </c>
      <c r="I19" s="98">
        <v>4</v>
      </c>
      <c r="J19" s="23">
        <v>5</v>
      </c>
      <c r="K19" s="23">
        <v>6</v>
      </c>
      <c r="L19" s="23">
        <v>7</v>
      </c>
      <c r="M19" s="23">
        <v>8</v>
      </c>
      <c r="N19" s="99">
        <v>9</v>
      </c>
      <c r="O19" s="98">
        <v>10</v>
      </c>
      <c r="P19" s="99">
        <v>11</v>
      </c>
      <c r="Q19" s="98">
        <v>12</v>
      </c>
      <c r="R19" s="99">
        <v>13</v>
      </c>
    </row>
    <row r="20" spans="2:18" ht="27" customHeight="1" x14ac:dyDescent="0.25">
      <c r="C20" s="31">
        <v>1</v>
      </c>
      <c r="D20" s="185" t="s">
        <v>28</v>
      </c>
      <c r="E20" s="188" t="s">
        <v>31</v>
      </c>
      <c r="F20" s="93" t="s">
        <v>33</v>
      </c>
      <c r="G20" s="35">
        <f>8+142+22+5+29+11+77+5+16+4+4+14+13+2+7+7+20+7+1+7+4+3+43+7+7+36+3+6+11+6+9+12</f>
        <v>548</v>
      </c>
      <c r="H20" s="36">
        <f>33+688.33+103+15.82+145+54.44+334.35+25+80.52+19.6+18.08+70+69.28+7.83+27.6+27.23+83.41+31+2.84+35+15+15+194+35+30.44+180+12+21.37+41.13+21+31.19+56.9</f>
        <v>2524.36</v>
      </c>
      <c r="I20" s="35">
        <f>1+4+10+23+3+9+1</f>
        <v>51</v>
      </c>
      <c r="J20" s="38">
        <f>4+17+48+99.4+15+40+3.78</f>
        <v>227.18</v>
      </c>
      <c r="K20" s="39">
        <f>5+9</f>
        <v>14</v>
      </c>
      <c r="L20" s="39">
        <f>4+5</f>
        <v>9</v>
      </c>
      <c r="M20" s="39">
        <f>1+1+3</f>
        <v>5</v>
      </c>
      <c r="N20" s="37">
        <f>4+18+1</f>
        <v>23</v>
      </c>
      <c r="O20" s="103">
        <f>22+38+12+4+29+10+55+4+10+2+5+9+13+3+11+4+25+9+1+4+4+3+34+7+6+18+3+6+10+5+9+13</f>
        <v>388</v>
      </c>
      <c r="P20" s="78">
        <f>91+176+55+13.22+145+49+161.9+20+46.2+8.84+19.86+43+69.28+13.1+43.5+16.68+105.33+41+2.84+20+15+15+155+35+26.14+72.42+12+21.37+39.63+18+31.19+63.2</f>
        <v>1644.7000000000003</v>
      </c>
      <c r="Q20" s="103">
        <f>18+55+13+2+3+3+15+5+8+6+2+21+24+7+5+8+7+6+3+2+18+5+8+6+11+6+8+12</f>
        <v>287</v>
      </c>
      <c r="R20" s="78">
        <f>124+275+65+6.23+15+16.05+64.5+25+34.94+19.7+8.98+75.74+85.845+25.2+15.8+33.58+26.75+26+10.37+10+80+19.47+30.64+23.1+42+21+29.77+58.2</f>
        <v>1267.8650000000002</v>
      </c>
    </row>
    <row r="21" spans="2:18" ht="30.75" customHeight="1" x14ac:dyDescent="0.25">
      <c r="C21" s="32">
        <v>2</v>
      </c>
      <c r="D21" s="186"/>
      <c r="E21" s="189"/>
      <c r="F21" s="94" t="s">
        <v>34</v>
      </c>
      <c r="G21" s="27">
        <f>7+34+9+1+8+6+24+7+2+2+6+5+14+8+15+18+1+1+3+1+8+9+1+7+1+2+12+7</f>
        <v>219</v>
      </c>
      <c r="H21" s="29">
        <f>31+190.2+45+4.39+40+29.67+99.7+35+9.8+6.7+30+24.5+54.6+28.69+66.13+80+4.93+5+11+5+36+35+2.1+24.78+18+8.18+76+33.8</f>
        <v>1035.17</v>
      </c>
      <c r="I21" s="27">
        <f>4+4+1+3</f>
        <v>12</v>
      </c>
      <c r="J21" s="25">
        <f>24+20+4.9+13.22</f>
        <v>62.12</v>
      </c>
      <c r="K21" s="12">
        <f>4+1</f>
        <v>5</v>
      </c>
      <c r="L21" s="12">
        <f>3</f>
        <v>3</v>
      </c>
      <c r="M21" s="12">
        <f>4</f>
        <v>4</v>
      </c>
      <c r="N21" s="28"/>
      <c r="O21" s="30">
        <f>23+55+5+1+5+5+51+6+3+2+2+3+4+21+8+16+20+2+1+3+1+8+15+9+1+9+1+2+12+9</f>
        <v>303</v>
      </c>
      <c r="P21" s="74">
        <f>86+255+25+4.39+25+24.5+69.7+30+11.2+8.84+10.8+14+19.6+85.1+28.69+70.75+90+9.74+5+11+5+36+56.57+35+2.1+31.35+4+8.18+76+41.55</f>
        <v>1180.0600000000002</v>
      </c>
      <c r="Q21" s="30">
        <f>20+4+5+2+8+6+25+4+3+4+2+10+15+1+2+2+8+1+4+1+5+23+2+1+8+15+2+23+1+4+4+5</f>
        <v>220</v>
      </c>
      <c r="R21" s="74">
        <f>84+20+18.18+5+40+29.4+133.7+20+12.2+14.25+8.9+39.09+51.714+3.9+9.67+9.14+34+3.87+20+4+25+104+10.8+4.7+42.54+58+8.13+86+4+15.997+18+23.6</f>
        <v>961.78099999999984</v>
      </c>
    </row>
    <row r="22" spans="2:18" ht="19.5" customHeight="1" x14ac:dyDescent="0.25">
      <c r="C22" s="32">
        <v>3</v>
      </c>
      <c r="D22" s="186"/>
      <c r="E22" s="238" t="s">
        <v>32</v>
      </c>
      <c r="F22" s="95" t="s">
        <v>33</v>
      </c>
      <c r="G22" s="27">
        <f>1+1+1+1+1+1+1</f>
        <v>7</v>
      </c>
      <c r="H22" s="29">
        <f>5+9.4+12.74+1.2+1+3.8+6.4</f>
        <v>39.54</v>
      </c>
      <c r="I22" s="27">
        <f>1</f>
        <v>1</v>
      </c>
      <c r="J22" s="25">
        <f>340</f>
        <v>340</v>
      </c>
      <c r="K22" s="12"/>
      <c r="L22" s="12">
        <f>1</f>
        <v>1</v>
      </c>
      <c r="M22" s="12"/>
      <c r="N22" s="28"/>
      <c r="O22" s="27">
        <f>2+1+1+1</f>
        <v>5</v>
      </c>
      <c r="P22" s="29">
        <f>12.64+4.9+1+6.4</f>
        <v>24.939999999999998</v>
      </c>
      <c r="Q22" s="30">
        <f>1+1+2</f>
        <v>4</v>
      </c>
      <c r="R22" s="74">
        <f>7.54+4.64+7.58</f>
        <v>19.759999999999998</v>
      </c>
    </row>
    <row r="23" spans="2:18" ht="29.25" customHeight="1" thickBot="1" x14ac:dyDescent="0.3">
      <c r="C23" s="33">
        <v>4</v>
      </c>
      <c r="D23" s="187"/>
      <c r="E23" s="239"/>
      <c r="F23" s="96" t="s">
        <v>34</v>
      </c>
      <c r="G23" s="42">
        <f>2+2+1</f>
        <v>5</v>
      </c>
      <c r="H23" s="77">
        <f>6.2+6+34.8</f>
        <v>47</v>
      </c>
      <c r="I23" s="42"/>
      <c r="J23" s="75"/>
      <c r="K23" s="44"/>
      <c r="L23" s="44"/>
      <c r="M23" s="44"/>
      <c r="N23" s="43"/>
      <c r="O23" s="42">
        <f>1+2+1+1</f>
        <v>5</v>
      </c>
      <c r="P23" s="77">
        <f>3.5+6+2.86+34.8</f>
        <v>47.16</v>
      </c>
      <c r="Q23" s="41">
        <f>1+1+1</f>
        <v>3</v>
      </c>
      <c r="R23" s="76">
        <f>2.73+4+2.1</f>
        <v>8.83</v>
      </c>
    </row>
    <row r="24" spans="2:18" ht="33.75" customHeight="1" x14ac:dyDescent="0.25">
      <c r="B24" s="7">
        <f>21</f>
        <v>21</v>
      </c>
      <c r="C24" s="31">
        <v>5</v>
      </c>
      <c r="D24" s="185" t="s">
        <v>29</v>
      </c>
      <c r="E24" s="34" t="s">
        <v>31</v>
      </c>
      <c r="F24" s="97" t="s">
        <v>34</v>
      </c>
      <c r="G24" s="35">
        <f>1+33+6</f>
        <v>40</v>
      </c>
      <c r="H24" s="36">
        <f>76.06+135.01+74.78</f>
        <v>285.85000000000002</v>
      </c>
      <c r="I24" s="35">
        <f>1+6</f>
        <v>7</v>
      </c>
      <c r="J24" s="38">
        <f>76.06+24.3</f>
        <v>100.36</v>
      </c>
      <c r="K24" s="39">
        <f>4</f>
        <v>4</v>
      </c>
      <c r="L24" s="39">
        <f>2</f>
        <v>2</v>
      </c>
      <c r="M24" s="39">
        <v>1</v>
      </c>
      <c r="N24" s="37"/>
      <c r="O24" s="35">
        <f>24+6</f>
        <v>30</v>
      </c>
      <c r="P24" s="36">
        <f>95.17+74.78</f>
        <v>169.95</v>
      </c>
      <c r="Q24" s="35">
        <f>1+26</f>
        <v>27</v>
      </c>
      <c r="R24" s="36">
        <f>14.8+167.2</f>
        <v>182</v>
      </c>
    </row>
    <row r="25" spans="2:18" ht="36.75" customHeight="1" thickBot="1" x14ac:dyDescent="0.3">
      <c r="C25" s="33">
        <v>6</v>
      </c>
      <c r="D25" s="187"/>
      <c r="E25" s="40" t="s">
        <v>32</v>
      </c>
      <c r="F25" s="96" t="s">
        <v>34</v>
      </c>
      <c r="G25" s="42">
        <f>1+1+3+1+1+2+1+1</f>
        <v>11</v>
      </c>
      <c r="H25" s="77">
        <f>150.6+4.9+558.3+35.7+3.4+202.23+169+1398</f>
        <v>2522.13</v>
      </c>
      <c r="I25" s="42">
        <f>2+1</f>
        <v>3</v>
      </c>
      <c r="J25" s="75">
        <f>202.23+1398</f>
        <v>1600.23</v>
      </c>
      <c r="K25" s="44"/>
      <c r="L25" s="44">
        <f>2+1</f>
        <v>3</v>
      </c>
      <c r="M25" s="44"/>
      <c r="N25" s="43"/>
      <c r="O25" s="42">
        <f>3+1</f>
        <v>4</v>
      </c>
      <c r="P25" s="43">
        <f>444.9+3.4</f>
        <v>448.29999999999995</v>
      </c>
      <c r="Q25" s="42">
        <f>1+3+1</f>
        <v>5</v>
      </c>
      <c r="R25" s="77">
        <f>30.5+352.6+2.73</f>
        <v>385.83000000000004</v>
      </c>
    </row>
    <row r="26" spans="2:18" ht="44.25" customHeight="1" x14ac:dyDescent="0.25">
      <c r="C26" s="31">
        <v>7</v>
      </c>
      <c r="D26" s="185" t="s">
        <v>30</v>
      </c>
      <c r="E26" s="34" t="s">
        <v>31</v>
      </c>
      <c r="F26" s="67" t="s">
        <v>34</v>
      </c>
      <c r="G26" s="35">
        <f>1</f>
        <v>1</v>
      </c>
      <c r="H26" s="36">
        <f>147</f>
        <v>147</v>
      </c>
      <c r="I26" s="35">
        <f>1</f>
        <v>1</v>
      </c>
      <c r="J26" s="39">
        <f>147</f>
        <v>147</v>
      </c>
      <c r="K26" s="39"/>
      <c r="L26" s="39"/>
      <c r="M26" s="39">
        <f>1</f>
        <v>1</v>
      </c>
      <c r="N26" s="37"/>
      <c r="O26" s="35"/>
      <c r="P26" s="37"/>
      <c r="Q26" s="35">
        <f>1+1</f>
        <v>2</v>
      </c>
      <c r="R26" s="36">
        <f>4.72+35.1</f>
        <v>39.82</v>
      </c>
    </row>
    <row r="27" spans="2:18" ht="30.75" customHeight="1" thickBot="1" x14ac:dyDescent="0.3">
      <c r="C27" s="33">
        <v>8</v>
      </c>
      <c r="D27" s="187"/>
      <c r="E27" s="40" t="s">
        <v>32</v>
      </c>
      <c r="F27" s="68" t="s">
        <v>34</v>
      </c>
      <c r="G27" s="42">
        <f>3+2</f>
        <v>5</v>
      </c>
      <c r="H27" s="77">
        <f>1135.41+594</f>
        <v>1729.41</v>
      </c>
      <c r="I27" s="42">
        <f>2</f>
        <v>2</v>
      </c>
      <c r="J27" s="44">
        <f>594</f>
        <v>594</v>
      </c>
      <c r="K27" s="44"/>
      <c r="L27" s="44"/>
      <c r="M27" s="44">
        <f>2</f>
        <v>2</v>
      </c>
      <c r="N27" s="43"/>
      <c r="O27" s="42"/>
      <c r="P27" s="43"/>
      <c r="Q27" s="42">
        <f>1</f>
        <v>1</v>
      </c>
      <c r="R27" s="77">
        <f>114</f>
        <v>114</v>
      </c>
    </row>
    <row r="28" spans="2:18" ht="51.75" customHeight="1" x14ac:dyDescent="0.25">
      <c r="C28" s="31">
        <v>9</v>
      </c>
      <c r="D28" s="185" t="s">
        <v>35</v>
      </c>
      <c r="E28" s="193" t="s">
        <v>47</v>
      </c>
      <c r="F28" s="194"/>
      <c r="G28" s="35">
        <f>4+1+2</f>
        <v>7</v>
      </c>
      <c r="H28" s="100">
        <f>7363.9+2983+3226</f>
        <v>13572.9</v>
      </c>
      <c r="I28" s="35">
        <f>4+1</f>
        <v>5</v>
      </c>
      <c r="J28" s="39">
        <f>7363.9+1976</f>
        <v>9339.9</v>
      </c>
      <c r="K28" s="39"/>
      <c r="L28" s="39">
        <f>3</f>
        <v>3</v>
      </c>
      <c r="M28" s="39">
        <f>1+1</f>
        <v>2</v>
      </c>
      <c r="N28" s="37"/>
      <c r="O28" s="35">
        <f>1</f>
        <v>1</v>
      </c>
      <c r="P28" s="37">
        <f>1250</f>
        <v>1250</v>
      </c>
      <c r="Q28" s="35"/>
      <c r="R28" s="37"/>
    </row>
    <row r="29" spans="2:18" ht="23.25" customHeight="1" x14ac:dyDescent="0.25">
      <c r="C29" s="32">
        <v>10</v>
      </c>
      <c r="D29" s="186"/>
      <c r="E29" s="195" t="s">
        <v>48</v>
      </c>
      <c r="F29" s="196"/>
      <c r="G29" s="32"/>
      <c r="H29" s="101"/>
      <c r="I29" s="32"/>
      <c r="J29" s="11"/>
      <c r="K29" s="11"/>
      <c r="L29" s="11"/>
      <c r="M29" s="11"/>
      <c r="N29" s="87"/>
      <c r="O29" s="32"/>
      <c r="P29" s="87"/>
      <c r="Q29" s="32"/>
      <c r="R29" s="87"/>
    </row>
    <row r="30" spans="2:18" ht="50.25" customHeight="1" x14ac:dyDescent="0.25">
      <c r="C30" s="32">
        <v>11</v>
      </c>
      <c r="D30" s="186"/>
      <c r="E30" s="195" t="s">
        <v>49</v>
      </c>
      <c r="F30" s="196"/>
      <c r="G30" s="27">
        <f>1</f>
        <v>1</v>
      </c>
      <c r="H30" s="29">
        <f>240.7</f>
        <v>240.7</v>
      </c>
      <c r="I30" s="32"/>
      <c r="J30" s="11"/>
      <c r="K30" s="11"/>
      <c r="L30" s="11"/>
      <c r="M30" s="11"/>
      <c r="N30" s="87"/>
      <c r="O30" s="32"/>
      <c r="P30" s="87"/>
      <c r="Q30" s="32"/>
      <c r="R30" s="87"/>
    </row>
    <row r="31" spans="2:18" ht="25.5" customHeight="1" x14ac:dyDescent="0.25">
      <c r="C31" s="32">
        <v>12</v>
      </c>
      <c r="D31" s="186"/>
      <c r="E31" s="195" t="s">
        <v>50</v>
      </c>
      <c r="F31" s="196"/>
      <c r="G31" s="32"/>
      <c r="H31" s="101"/>
      <c r="I31" s="32"/>
      <c r="J31" s="11"/>
      <c r="K31" s="11"/>
      <c r="L31" s="11"/>
      <c r="M31" s="11"/>
      <c r="N31" s="87"/>
      <c r="O31" s="32"/>
      <c r="P31" s="87"/>
      <c r="Q31" s="32"/>
      <c r="R31" s="87"/>
    </row>
    <row r="32" spans="2:18" ht="50.25" customHeight="1" x14ac:dyDescent="0.25">
      <c r="C32" s="32">
        <v>13</v>
      </c>
      <c r="D32" s="186"/>
      <c r="E32" s="195" t="s">
        <v>51</v>
      </c>
      <c r="F32" s="196"/>
      <c r="G32" s="32"/>
      <c r="H32" s="101"/>
      <c r="I32" s="32"/>
      <c r="J32" s="11"/>
      <c r="K32" s="11"/>
      <c r="L32" s="11"/>
      <c r="M32" s="11"/>
      <c r="N32" s="87"/>
      <c r="O32" s="32"/>
      <c r="P32" s="87"/>
      <c r="Q32" s="32"/>
      <c r="R32" s="87"/>
    </row>
    <row r="33" spans="3:18" ht="50.25" customHeight="1" thickBot="1" x14ac:dyDescent="0.3">
      <c r="C33" s="33">
        <v>14</v>
      </c>
      <c r="D33" s="187"/>
      <c r="E33" s="197" t="s">
        <v>52</v>
      </c>
      <c r="F33" s="198"/>
      <c r="G33" s="33"/>
      <c r="H33" s="102"/>
      <c r="I33" s="33"/>
      <c r="J33" s="88"/>
      <c r="K33" s="88"/>
      <c r="L33" s="88"/>
      <c r="M33" s="88"/>
      <c r="N33" s="89"/>
      <c r="O33" s="33"/>
      <c r="P33" s="89"/>
      <c r="Q33" s="33"/>
      <c r="R33" s="89"/>
    </row>
    <row r="34" spans="3:18" ht="21" customHeight="1" thickBot="1" x14ac:dyDescent="0.3">
      <c r="C34" s="90">
        <v>15</v>
      </c>
      <c r="D34" s="190" t="s">
        <v>36</v>
      </c>
      <c r="E34" s="191"/>
      <c r="F34" s="192"/>
      <c r="G34" s="91">
        <f>SUM(G20:G33)</f>
        <v>844</v>
      </c>
      <c r="H34" s="91">
        <f>SUM(H20:H33)</f>
        <v>22144.06</v>
      </c>
      <c r="I34" s="91">
        <f t="shared" ref="I34:R34" si="0">SUM(I20:I33)</f>
        <v>82</v>
      </c>
      <c r="J34" s="91">
        <f t="shared" si="0"/>
        <v>12410.789999999999</v>
      </c>
      <c r="K34" s="91">
        <f t="shared" si="0"/>
        <v>23</v>
      </c>
      <c r="L34" s="91">
        <f t="shared" si="0"/>
        <v>21</v>
      </c>
      <c r="M34" s="91">
        <f t="shared" si="0"/>
        <v>15</v>
      </c>
      <c r="N34" s="91">
        <f t="shared" si="0"/>
        <v>23</v>
      </c>
      <c r="O34" s="91">
        <f t="shared" si="0"/>
        <v>736</v>
      </c>
      <c r="P34" s="91">
        <f t="shared" si="0"/>
        <v>4765.1099999999997</v>
      </c>
      <c r="Q34" s="91">
        <f t="shared" si="0"/>
        <v>549</v>
      </c>
      <c r="R34" s="92">
        <f t="shared" si="0"/>
        <v>2979.8860000000004</v>
      </c>
    </row>
    <row r="49" spans="7:18" x14ac:dyDescent="0.25"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7:18" x14ac:dyDescent="0.25"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7:18" x14ac:dyDescent="0.25"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7:18" x14ac:dyDescent="0.25">
      <c r="G52" s="46"/>
      <c r="H52" s="47"/>
      <c r="I52" s="46"/>
      <c r="J52" s="47"/>
      <c r="K52" s="46"/>
      <c r="L52" s="46"/>
      <c r="M52" s="46"/>
      <c r="N52" s="46"/>
      <c r="O52" s="46"/>
      <c r="P52" s="47"/>
      <c r="Q52" s="48"/>
      <c r="R52" s="47"/>
    </row>
    <row r="53" spans="7:18" x14ac:dyDescent="0.25">
      <c r="G53" s="46"/>
      <c r="H53" s="47"/>
      <c r="I53" s="46"/>
      <c r="J53" s="47"/>
      <c r="K53" s="46"/>
      <c r="L53" s="46"/>
      <c r="M53" s="46"/>
      <c r="N53" s="46"/>
      <c r="O53" s="46"/>
      <c r="P53" s="47"/>
      <c r="Q53" s="46"/>
      <c r="R53" s="47"/>
    </row>
    <row r="54" spans="7:18" x14ac:dyDescent="0.25">
      <c r="G54" s="46"/>
      <c r="H54" s="47"/>
      <c r="I54" s="46"/>
      <c r="J54" s="47"/>
      <c r="K54" s="46"/>
      <c r="L54" s="46"/>
      <c r="M54" s="46"/>
      <c r="N54" s="46"/>
      <c r="O54" s="46"/>
      <c r="P54" s="47"/>
      <c r="Q54" s="48"/>
      <c r="R54" s="83"/>
    </row>
    <row r="55" spans="7:18" x14ac:dyDescent="0.25">
      <c r="G55" s="46"/>
      <c r="H55" s="47"/>
      <c r="I55" s="46"/>
      <c r="J55" s="47"/>
      <c r="K55" s="46"/>
      <c r="L55" s="46"/>
      <c r="M55" s="46"/>
      <c r="N55" s="46"/>
      <c r="O55" s="46"/>
      <c r="P55" s="47"/>
      <c r="Q55" s="48"/>
      <c r="R55" s="83"/>
    </row>
    <row r="56" spans="7:18" x14ac:dyDescent="0.25">
      <c r="G56" s="46"/>
      <c r="H56" s="47"/>
      <c r="I56" s="46"/>
      <c r="J56" s="47"/>
      <c r="K56" s="46"/>
      <c r="L56" s="46"/>
      <c r="M56" s="46"/>
      <c r="N56" s="46"/>
      <c r="O56" s="46"/>
      <c r="P56" s="47"/>
      <c r="Q56" s="46"/>
      <c r="R56" s="47"/>
    </row>
    <row r="57" spans="7:18" x14ac:dyDescent="0.25">
      <c r="G57" s="46"/>
      <c r="H57" s="47"/>
      <c r="I57" s="46"/>
      <c r="J57" s="47"/>
      <c r="K57" s="46"/>
      <c r="L57" s="46"/>
      <c r="M57" s="46"/>
      <c r="N57" s="46"/>
      <c r="O57" s="46"/>
      <c r="P57" s="46"/>
      <c r="Q57" s="46"/>
      <c r="R57" s="47"/>
    </row>
    <row r="58" spans="7:18" x14ac:dyDescent="0.25">
      <c r="G58" s="46"/>
      <c r="H58" s="47"/>
      <c r="I58" s="46"/>
      <c r="J58" s="46"/>
      <c r="K58" s="46"/>
      <c r="L58" s="46"/>
      <c r="M58" s="46"/>
      <c r="N58" s="46"/>
      <c r="O58" s="46"/>
      <c r="P58" s="46"/>
      <c r="Q58" s="46"/>
      <c r="R58" s="47"/>
    </row>
    <row r="59" spans="7:18" x14ac:dyDescent="0.25">
      <c r="G59" s="46"/>
      <c r="H59" s="47"/>
      <c r="I59" s="46"/>
      <c r="J59" s="46"/>
      <c r="K59" s="46"/>
      <c r="L59" s="46"/>
      <c r="M59" s="46"/>
      <c r="N59" s="46"/>
      <c r="O59" s="46"/>
      <c r="P59" s="46"/>
      <c r="Q59" s="46"/>
      <c r="R59" s="47"/>
    </row>
    <row r="60" spans="7:18" x14ac:dyDescent="0.25">
      <c r="G60" s="46"/>
      <c r="H60" s="47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7:18" x14ac:dyDescent="0.25">
      <c r="G61" s="84"/>
      <c r="H61" s="85"/>
      <c r="I61" s="84"/>
      <c r="J61" s="84"/>
      <c r="K61" s="84"/>
      <c r="L61" s="84"/>
      <c r="M61" s="84"/>
      <c r="N61" s="84"/>
      <c r="O61" s="84"/>
      <c r="P61" s="84"/>
      <c r="Q61" s="84"/>
      <c r="R61" s="84"/>
    </row>
    <row r="62" spans="7:18" x14ac:dyDescent="0.25">
      <c r="G62" s="84"/>
      <c r="H62" s="85"/>
      <c r="I62" s="84"/>
      <c r="J62" s="84"/>
      <c r="K62" s="84"/>
      <c r="L62" s="84"/>
      <c r="M62" s="84"/>
      <c r="N62" s="84"/>
      <c r="O62" s="84"/>
      <c r="P62" s="84"/>
      <c r="Q62" s="84"/>
      <c r="R62" s="84"/>
    </row>
    <row r="63" spans="7:18" x14ac:dyDescent="0.25">
      <c r="G63" s="84"/>
      <c r="H63" s="85"/>
      <c r="I63" s="84"/>
      <c r="J63" s="84"/>
      <c r="K63" s="84"/>
      <c r="L63" s="84"/>
      <c r="M63" s="84"/>
      <c r="N63" s="84"/>
      <c r="O63" s="84"/>
      <c r="P63" s="84"/>
      <c r="Q63" s="84"/>
      <c r="R63" s="84"/>
    </row>
    <row r="64" spans="7:18" x14ac:dyDescent="0.25">
      <c r="G64" s="84"/>
      <c r="H64" s="85"/>
      <c r="I64" s="84"/>
      <c r="J64" s="84"/>
      <c r="K64" s="84"/>
      <c r="L64" s="84"/>
      <c r="M64" s="84"/>
      <c r="N64" s="84"/>
      <c r="O64" s="84"/>
      <c r="P64" s="84"/>
      <c r="Q64" s="84"/>
      <c r="R64" s="84"/>
    </row>
    <row r="65" spans="7:18" x14ac:dyDescent="0.25">
      <c r="G65" s="84"/>
      <c r="H65" s="85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7:18" x14ac:dyDescent="0.25"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7:18" x14ac:dyDescent="0.25"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</row>
    <row r="68" spans="7:18" x14ac:dyDescent="0.25"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</row>
    <row r="69" spans="7:18" x14ac:dyDescent="0.25"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</row>
    <row r="70" spans="7:18" x14ac:dyDescent="0.25"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</row>
    <row r="71" spans="7:18" x14ac:dyDescent="0.25"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2020-03-12T12:40:08Z</dcterms:modified>
</cp:coreProperties>
</file>