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3" l="1"/>
  <c r="R25" i="3"/>
  <c r="R22" i="3"/>
  <c r="P25" i="3" l="1"/>
  <c r="O25" i="3"/>
  <c r="P24" i="3"/>
  <c r="O24" i="3"/>
  <c r="J22" i="3" l="1"/>
  <c r="H23" i="3"/>
  <c r="R20" i="3"/>
  <c r="Q21" i="3"/>
  <c r="Q20" i="3"/>
  <c r="P21" i="3"/>
  <c r="P20" i="3"/>
  <c r="O21" i="3"/>
  <c r="O20" i="3"/>
  <c r="R26" i="3"/>
  <c r="P33" i="3"/>
  <c r="O33" i="3"/>
  <c r="Q30" i="3"/>
  <c r="R30" i="3"/>
  <c r="R28" i="3"/>
  <c r="Q28" i="3"/>
  <c r="H33" i="3"/>
  <c r="G33" i="3"/>
  <c r="K28" i="3"/>
  <c r="J28" i="3"/>
  <c r="I28" i="3"/>
  <c r="H28" i="3"/>
  <c r="G28" i="3"/>
  <c r="H27" i="3"/>
  <c r="G27" i="3"/>
  <c r="K25" i="3"/>
  <c r="J25" i="3"/>
  <c r="I25" i="3"/>
  <c r="H25" i="3"/>
  <c r="G25" i="3"/>
  <c r="H24" i="3"/>
  <c r="G24" i="3"/>
  <c r="K23" i="3"/>
  <c r="J23" i="3"/>
  <c r="I23" i="3"/>
  <c r="N21" i="3"/>
  <c r="M21" i="3"/>
  <c r="K21" i="3"/>
  <c r="J21" i="3"/>
  <c r="I21" i="3"/>
  <c r="H21" i="3"/>
  <c r="H20" i="3"/>
  <c r="G23" i="3"/>
  <c r="G21" i="3"/>
  <c r="G20" i="3"/>
  <c r="J26" i="3" l="1"/>
  <c r="L20" i="3"/>
  <c r="J20" i="3"/>
  <c r="I20" i="3"/>
  <c r="J27" i="3" l="1"/>
  <c r="H26" i="3"/>
  <c r="G26" i="3"/>
  <c r="I22" i="3" l="1"/>
  <c r="H22" i="3" l="1"/>
  <c r="G22" i="3"/>
  <c r="O22" i="3" l="1"/>
  <c r="P22" i="3"/>
  <c r="Q22" i="3" l="1"/>
  <c r="Q27" i="3" l="1"/>
  <c r="L25" i="3"/>
  <c r="J24" i="3"/>
  <c r="P23" i="3" l="1"/>
  <c r="O23" i="3"/>
  <c r="R23" i="3" l="1"/>
  <c r="Q23" i="3"/>
  <c r="L21" i="3" l="1"/>
  <c r="I21" i="2" l="1"/>
  <c r="H21" i="2"/>
  <c r="H23" i="2"/>
  <c r="I26" i="2"/>
  <c r="H26" i="2"/>
  <c r="K21" i="2"/>
  <c r="N21" i="2"/>
  <c r="J21" i="2"/>
  <c r="G21" i="2"/>
  <c r="G25" i="2"/>
  <c r="F25" i="2"/>
  <c r="F28" i="2"/>
  <c r="L29" i="2"/>
  <c r="K29" i="2"/>
  <c r="J29" i="2"/>
  <c r="G29" i="2"/>
  <c r="F29" i="2"/>
  <c r="G23" i="2"/>
  <c r="G26" i="2"/>
  <c r="F26" i="2"/>
  <c r="G28" i="2"/>
  <c r="J34" i="3" l="1"/>
  <c r="H34" i="3"/>
  <c r="I34" i="3"/>
  <c r="K34" i="3"/>
  <c r="L34" i="3"/>
  <c r="G34" i="3"/>
  <c r="F30" i="2" l="1"/>
  <c r="G30" i="2"/>
  <c r="B24" i="3" l="1"/>
  <c r="N30" i="2" l="1"/>
  <c r="M30" i="2"/>
  <c r="L30" i="2"/>
  <c r="K30" i="2"/>
  <c r="J30" i="2"/>
  <c r="I30" i="2"/>
  <c r="H30" i="2"/>
  <c r="R34" i="3" l="1"/>
  <c r="Q34" i="3"/>
  <c r="P34" i="3"/>
  <c r="O34" i="3"/>
  <c r="N34" i="3"/>
  <c r="M34" i="3"/>
  <c r="K17" i="2" l="1"/>
  <c r="J17" i="2"/>
</calcChain>
</file>

<file path=xl/sharedStrings.xml><?xml version="1.0" encoding="utf-8"?>
<sst xmlns="http://schemas.openxmlformats.org/spreadsheetml/2006/main" count="129" uniqueCount="74">
  <si>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</si>
  <si>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</si>
  <si>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</si>
  <si>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</si>
  <si>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</si>
  <si>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</si>
  <si>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</si>
  <si>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</si>
  <si>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</si>
  <si>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</si>
  <si>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</si>
  <si>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</si>
  <si>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</si>
  <si>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</si>
  <si>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</si>
  <si>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</si>
  <si>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</si>
  <si>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</si>
  <si>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</si>
  <si>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</si>
  <si>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</si>
  <si>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</si>
  <si>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</si>
  <si>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</si>
  <si>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</si>
  <si>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</si>
  <si>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</si>
  <si>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</si>
  <si>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</si>
  <si>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</si>
  <si>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</si>
  <si>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</si>
  <si>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</si>
  <si>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</si>
  <si>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</si>
  <si>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</si>
  <si>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</si>
  <si>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</si>
  <si>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</si>
  <si>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</si>
  <si>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</si>
  <si>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</si>
  <si>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</si>
  <si>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</si>
  <si>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</si>
  <si>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</si>
  <si>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</si>
  <si>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</si>
  <si>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</si>
  <si>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</si>
  <si>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</si>
  <si>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</si>
  <si>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</si>
  <si>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</si>
  <si>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</si>
  <si>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</si>
  <si>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</si>
  <si>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</si>
  <si>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</si>
  <si>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</si>
  <si>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</si>
  <si>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</si>
  <si>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</si>
  <si>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</si>
  <si>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</si>
  <si>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</si>
  <si>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</si>
  <si>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</si>
  <si>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</si>
  <si>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              АО "Газпром газораспределение Краснодар"</t>
  </si>
  <si>
    <t>октябрь</t>
  </si>
  <si>
    <t xml:space="preserve">По краснодарскому краю </t>
  </si>
  <si>
    <t>По Сочи</t>
  </si>
  <si>
    <t>октябрь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</si>
</sst>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2" fillId="0" borderId="0" xfId="0" applyFont="1" applyAlignment="1">
      <alignment horizontal="right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0" fontId="1" fillId="0" borderId="35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3" fontId="7" fillId="0" borderId="48" xfId="0" applyNumberFormat="1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0" fontId="1" fillId="3" borderId="26" xfId="0" applyFont="1" applyFill="1" applyBorder="1"/>
    <xf numFmtId="0" fontId="1" fillId="3" borderId="28" xfId="0" applyFont="1" applyFill="1" applyBorder="1" applyAlignment="1">
      <alignment horizontal="left" vertical="center" wrapText="1"/>
    </xf>
    <xf numFmtId="0" fontId="1" fillId="3" borderId="28" xfId="0" applyFont="1" applyFill="1" applyBorder="1"/>
    <xf numFmtId="0" fontId="1" fillId="3" borderId="3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1" fontId="13" fillId="0" borderId="26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1" fontId="13" fillId="0" borderId="35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1" fontId="7" fillId="0" borderId="48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3" fillId="0" borderId="33" xfId="0" applyNumberFormat="1" applyFont="1" applyFill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67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3" fontId="7" fillId="0" borderId="33" xfId="0" applyNumberFormat="1" applyFont="1" applyBorder="1" applyAlignment="1">
      <alignment horizontal="center" vertical="center"/>
    </xf>
    <xf numFmtId="3" fontId="7" fillId="0" borderId="65" xfId="0" applyNumberFormat="1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69" xfId="0" applyNumberFormat="1" applyFont="1" applyBorder="1" applyAlignment="1">
      <alignment horizontal="center" vertical="center"/>
    </xf>
    <xf numFmtId="3" fontId="7" fillId="0" borderId="34" xfId="0" applyNumberFormat="1" applyFont="1" applyBorder="1" applyAlignment="1">
      <alignment horizontal="center" vertical="center"/>
    </xf>
    <xf numFmtId="3" fontId="7" fillId="0" borderId="70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3" fontId="7" fillId="0" borderId="62" xfId="0" applyNumberFormat="1" applyFont="1" applyBorder="1" applyAlignment="1">
      <alignment horizontal="center" vertical="center"/>
    </xf>
    <xf numFmtId="3" fontId="7" fillId="0" borderId="71" xfId="0" applyNumberFormat="1" applyFont="1" applyBorder="1" applyAlignment="1">
      <alignment horizontal="center" vertical="center"/>
    </xf>
    <xf numFmtId="3" fontId="7" fillId="0" borderId="72" xfId="0" applyNumberFormat="1" applyFont="1" applyBorder="1" applyAlignment="1">
      <alignment horizontal="center" vertical="center"/>
    </xf>
    <xf numFmtId="3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2" fontId="7" fillId="0" borderId="11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3" fillId="0" borderId="29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1" fontId="13" fillId="0" borderId="30" xfId="0" applyNumberFormat="1" applyFont="1" applyFill="1" applyBorder="1" applyAlignment="1">
      <alignment horizontal="center" vertical="center"/>
    </xf>
    <xf numFmtId="1" fontId="13" fillId="0" borderId="42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46" xfId="0" applyFont="1" applyBorder="1" applyAlignment="1"/>
    <xf numFmtId="0" fontId="1" fillId="0" borderId="48" xfId="0" applyFont="1" applyBorder="1" applyAlignment="1"/>
    <xf numFmtId="0" fontId="1" fillId="0" borderId="47" xfId="0" applyFont="1" applyBorder="1" applyAlignment="1"/>
    <xf numFmtId="0" fontId="6" fillId="0" borderId="4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3" borderId="37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1" fontId="13" fillId="0" borderId="38" xfId="0" applyNumberFormat="1" applyFont="1" applyFill="1" applyBorder="1" applyAlignment="1">
      <alignment horizontal="center" vertical="center"/>
    </xf>
    <xf numFmtId="1" fontId="13" fillId="0" borderId="32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1" fillId="0" borderId="39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55" xfId="0" applyFont="1" applyBorder="1" applyAlignment="1"/>
    <xf numFmtId="0" fontId="1" fillId="0" borderId="36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textRotation="90"/>
    </xf>
    <xf numFmtId="0" fontId="7" fillId="2" borderId="45" xfId="0" applyFont="1" applyFill="1" applyBorder="1" applyAlignment="1">
      <alignment horizontal="center" textRotation="90"/>
    </xf>
    <xf numFmtId="0" fontId="7" fillId="2" borderId="3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7" fillId="2" borderId="63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textRotation="90"/>
    </xf>
    <xf numFmtId="0" fontId="7" fillId="2" borderId="1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L16" sqref="L16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23" t="s">
        <v>67</v>
      </c>
      <c r="C8" s="124"/>
      <c r="D8" s="124"/>
      <c r="E8" s="124"/>
      <c r="F8" s="124"/>
      <c r="G8" s="124"/>
      <c r="H8" s="124"/>
      <c r="I8" s="124"/>
      <c r="J8" s="124"/>
      <c r="K8" s="125"/>
    </row>
    <row r="9" spans="2:17" ht="19.5" customHeight="1" x14ac:dyDescent="0.25">
      <c r="B9" s="126" t="s">
        <v>54</v>
      </c>
      <c r="C9" s="127"/>
      <c r="D9" s="127"/>
      <c r="E9" s="127"/>
      <c r="F9" s="127"/>
      <c r="G9" s="127"/>
      <c r="H9" s="127"/>
      <c r="I9" s="127"/>
      <c r="J9" s="127"/>
      <c r="K9" s="128"/>
    </row>
    <row r="10" spans="2:17" ht="15.75" customHeight="1" x14ac:dyDescent="0.3">
      <c r="B10" s="129" t="s">
        <v>68</v>
      </c>
      <c r="C10" s="130"/>
      <c r="D10" s="130"/>
      <c r="E10" s="130"/>
      <c r="F10" s="130"/>
      <c r="G10" s="130"/>
      <c r="H10" s="130"/>
      <c r="I10" s="130"/>
      <c r="J10" s="130"/>
      <c r="K10" s="131"/>
    </row>
    <row r="11" spans="2:17" ht="18" x14ac:dyDescent="0.25">
      <c r="B11" s="132" t="s">
        <v>15</v>
      </c>
      <c r="C11" s="133"/>
      <c r="D11" s="133"/>
      <c r="E11" s="133"/>
      <c r="F11" s="133"/>
      <c r="G11" s="133"/>
      <c r="H11" s="133"/>
      <c r="I11" s="133"/>
      <c r="J11" s="133"/>
      <c r="K11" s="134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73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35" t="s">
        <v>0</v>
      </c>
      <c r="C15" s="135" t="s">
        <v>1</v>
      </c>
      <c r="D15" s="135"/>
      <c r="E15" s="135" t="s">
        <v>4</v>
      </c>
      <c r="F15" s="135"/>
      <c r="G15" s="135"/>
      <c r="H15" s="135" t="s">
        <v>5</v>
      </c>
      <c r="I15" s="135"/>
      <c r="J15" s="135" t="s">
        <v>6</v>
      </c>
      <c r="K15" s="135"/>
      <c r="L15" s="2"/>
      <c r="M15" s="2"/>
      <c r="N15" s="2"/>
      <c r="O15" s="2"/>
      <c r="P15" s="2"/>
      <c r="Q15" s="3"/>
    </row>
    <row r="16" spans="2:17" ht="70.5" customHeight="1" x14ac:dyDescent="0.25">
      <c r="B16" s="135"/>
      <c r="C16" s="135" t="s">
        <v>2</v>
      </c>
      <c r="D16" s="135" t="s">
        <v>3</v>
      </c>
      <c r="E16" s="135" t="s">
        <v>7</v>
      </c>
      <c r="F16" s="135"/>
      <c r="G16" s="135" t="s">
        <v>10</v>
      </c>
      <c r="H16" s="135" t="s">
        <v>11</v>
      </c>
      <c r="I16" s="135" t="s">
        <v>12</v>
      </c>
      <c r="J16" s="135" t="s">
        <v>13</v>
      </c>
      <c r="K16" s="135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35"/>
      <c r="C17" s="135"/>
      <c r="D17" s="135"/>
      <c r="E17" s="5" t="s">
        <v>8</v>
      </c>
      <c r="F17" s="5" t="s">
        <v>9</v>
      </c>
      <c r="G17" s="135"/>
      <c r="H17" s="135"/>
      <c r="I17" s="135"/>
      <c r="J17" s="135"/>
      <c r="K17" s="135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  <mergeCell ref="J16:J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1" zoomScale="110" zoomScaleNormal="100" zoomScaleSheetLayoutView="110" workbookViewId="0">
      <selection activeCell="E33" sqref="E33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23" t="s">
        <v>65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3"/>
    </row>
    <row r="10" spans="2:14" ht="18" x14ac:dyDescent="0.25">
      <c r="B10" s="126" t="s">
        <v>64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5"/>
    </row>
    <row r="11" spans="2:14" ht="18.75" x14ac:dyDescent="0.3">
      <c r="B11" s="146" t="s">
        <v>66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8"/>
    </row>
    <row r="12" spans="2:14" ht="18" x14ac:dyDescent="0.25">
      <c r="B12" s="149" t="s">
        <v>38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1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6" t="s">
        <v>70</v>
      </c>
      <c r="N14" s="36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38" t="s">
        <v>16</v>
      </c>
      <c r="C16" s="138" t="s">
        <v>17</v>
      </c>
      <c r="D16" s="138"/>
      <c r="E16" s="153"/>
      <c r="F16" s="154" t="s">
        <v>18</v>
      </c>
      <c r="G16" s="155"/>
      <c r="H16" s="154" t="s">
        <v>21</v>
      </c>
      <c r="I16" s="155"/>
      <c r="J16" s="154" t="s">
        <v>22</v>
      </c>
      <c r="K16" s="156"/>
      <c r="L16" s="156"/>
      <c r="M16" s="156"/>
      <c r="N16" s="155"/>
    </row>
    <row r="17" spans="2:14" x14ac:dyDescent="0.25">
      <c r="B17" s="138"/>
      <c r="C17" s="138"/>
      <c r="D17" s="138"/>
      <c r="E17" s="153"/>
      <c r="F17" s="157" t="s">
        <v>19</v>
      </c>
      <c r="G17" s="139" t="s">
        <v>20</v>
      </c>
      <c r="H17" s="157" t="s">
        <v>19</v>
      </c>
      <c r="I17" s="139" t="s">
        <v>20</v>
      </c>
      <c r="J17" s="157" t="str">
        <f>F17</f>
        <v>количество</v>
      </c>
      <c r="K17" s="138" t="str">
        <f>I17</f>
        <v>объем, м3/час</v>
      </c>
      <c r="L17" s="138" t="s">
        <v>23</v>
      </c>
      <c r="M17" s="138"/>
      <c r="N17" s="139"/>
    </row>
    <row r="18" spans="2:14" ht="42.75" x14ac:dyDescent="0.25">
      <c r="B18" s="138"/>
      <c r="C18" s="138"/>
      <c r="D18" s="138"/>
      <c r="E18" s="153"/>
      <c r="F18" s="157"/>
      <c r="G18" s="139"/>
      <c r="H18" s="157"/>
      <c r="I18" s="139"/>
      <c r="J18" s="157"/>
      <c r="K18" s="138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52"/>
      <c r="C19" s="152">
        <v>1</v>
      </c>
      <c r="D19" s="152"/>
      <c r="E19" s="158"/>
      <c r="F19" s="47">
        <v>2</v>
      </c>
      <c r="G19" s="48">
        <v>3</v>
      </c>
      <c r="H19" s="47">
        <v>4</v>
      </c>
      <c r="I19" s="48">
        <v>5</v>
      </c>
      <c r="J19" s="47">
        <v>6</v>
      </c>
      <c r="K19" s="22">
        <v>7</v>
      </c>
      <c r="L19" s="22">
        <v>8</v>
      </c>
      <c r="M19" s="22">
        <v>9</v>
      </c>
      <c r="N19" s="48">
        <v>10</v>
      </c>
    </row>
    <row r="20" spans="2:14" ht="15.75" thickBot="1" x14ac:dyDescent="0.3">
      <c r="B20" s="37">
        <v>1</v>
      </c>
      <c r="C20" s="180" t="s">
        <v>27</v>
      </c>
      <c r="D20" s="181"/>
      <c r="E20" s="182"/>
      <c r="F20" s="49"/>
      <c r="G20" s="50"/>
      <c r="H20" s="49"/>
      <c r="I20" s="50"/>
      <c r="J20" s="49"/>
      <c r="K20" s="51"/>
      <c r="L20" s="51"/>
      <c r="M20" s="51"/>
      <c r="N20" s="50"/>
    </row>
    <row r="21" spans="2:14" x14ac:dyDescent="0.25">
      <c r="B21" s="38">
        <v>2</v>
      </c>
      <c r="C21" s="161" t="s">
        <v>28</v>
      </c>
      <c r="D21" s="184" t="s">
        <v>31</v>
      </c>
      <c r="E21" s="41" t="s">
        <v>33</v>
      </c>
      <c r="F21" s="186">
        <v>274</v>
      </c>
      <c r="G21" s="188">
        <f>1275.37</f>
        <v>1275.3699999999999</v>
      </c>
      <c r="H21" s="140">
        <f>194</f>
        <v>194</v>
      </c>
      <c r="I21" s="159">
        <f>901.33</f>
        <v>901.33</v>
      </c>
      <c r="J21" s="159">
        <f>18+13</f>
        <v>31</v>
      </c>
      <c r="K21" s="159">
        <f>105+67.95</f>
        <v>172.95</v>
      </c>
      <c r="L21" s="140">
        <v>18</v>
      </c>
      <c r="M21" s="140">
        <v>0</v>
      </c>
      <c r="N21" s="140">
        <f>13</f>
        <v>13</v>
      </c>
    </row>
    <row r="22" spans="2:14" ht="30" x14ac:dyDescent="0.25">
      <c r="B22" s="39">
        <v>3</v>
      </c>
      <c r="C22" s="183"/>
      <c r="D22" s="185"/>
      <c r="E22" s="42" t="s">
        <v>34</v>
      </c>
      <c r="F22" s="187"/>
      <c r="G22" s="189"/>
      <c r="H22" s="141"/>
      <c r="I22" s="160"/>
      <c r="J22" s="160"/>
      <c r="K22" s="160"/>
      <c r="L22" s="141"/>
      <c r="M22" s="141"/>
      <c r="N22" s="141"/>
    </row>
    <row r="23" spans="2:14" x14ac:dyDescent="0.25">
      <c r="B23" s="39">
        <v>4</v>
      </c>
      <c r="C23" s="183"/>
      <c r="D23" s="165" t="s">
        <v>32</v>
      </c>
      <c r="E23" s="43" t="s">
        <v>33</v>
      </c>
      <c r="F23" s="167">
        <v>17</v>
      </c>
      <c r="G23" s="169">
        <f>133.7</f>
        <v>133.69999999999999</v>
      </c>
      <c r="H23" s="140">
        <f>9</f>
        <v>9</v>
      </c>
      <c r="I23" s="159">
        <v>43.9</v>
      </c>
      <c r="J23" s="140">
        <v>1</v>
      </c>
      <c r="K23" s="163">
        <v>8.08</v>
      </c>
      <c r="L23" s="140">
        <v>1</v>
      </c>
      <c r="M23" s="140">
        <v>0</v>
      </c>
      <c r="N23" s="140">
        <v>0</v>
      </c>
    </row>
    <row r="24" spans="2:14" ht="30.75" thickBot="1" x14ac:dyDescent="0.3">
      <c r="B24" s="40">
        <v>5</v>
      </c>
      <c r="C24" s="162"/>
      <c r="D24" s="166"/>
      <c r="E24" s="44" t="s">
        <v>34</v>
      </c>
      <c r="F24" s="168"/>
      <c r="G24" s="170"/>
      <c r="H24" s="141"/>
      <c r="I24" s="160"/>
      <c r="J24" s="141"/>
      <c r="K24" s="164"/>
      <c r="L24" s="141"/>
      <c r="M24" s="141"/>
      <c r="N24" s="141"/>
    </row>
    <row r="25" spans="2:14" ht="30" x14ac:dyDescent="0.25">
      <c r="B25" s="38">
        <v>6</v>
      </c>
      <c r="C25" s="161" t="s">
        <v>29</v>
      </c>
      <c r="D25" s="27" t="s">
        <v>31</v>
      </c>
      <c r="E25" s="45" t="s">
        <v>34</v>
      </c>
      <c r="F25" s="69">
        <f>2</f>
        <v>2</v>
      </c>
      <c r="G25" s="70">
        <f>1000+142</f>
        <v>1142</v>
      </c>
      <c r="H25" s="71">
        <v>0</v>
      </c>
      <c r="I25" s="72">
        <v>0</v>
      </c>
      <c r="J25" s="71">
        <v>1</v>
      </c>
      <c r="K25" s="73">
        <v>1000</v>
      </c>
      <c r="L25" s="74">
        <v>0</v>
      </c>
      <c r="M25" s="74">
        <v>0</v>
      </c>
      <c r="N25" s="75">
        <v>1</v>
      </c>
    </row>
    <row r="26" spans="2:14" ht="30.75" thickBot="1" x14ac:dyDescent="0.3">
      <c r="B26" s="40">
        <v>7</v>
      </c>
      <c r="C26" s="162"/>
      <c r="D26" s="28" t="s">
        <v>32</v>
      </c>
      <c r="E26" s="46" t="s">
        <v>34</v>
      </c>
      <c r="F26" s="76">
        <f>2+1</f>
        <v>3</v>
      </c>
      <c r="G26" s="77">
        <f>281.7+245.9</f>
        <v>527.6</v>
      </c>
      <c r="H26" s="78">
        <f>1+1</f>
        <v>2</v>
      </c>
      <c r="I26" s="79">
        <f>245.9+44.9</f>
        <v>290.8</v>
      </c>
      <c r="J26" s="78">
        <v>1</v>
      </c>
      <c r="K26" s="80">
        <v>201.5</v>
      </c>
      <c r="L26" s="81">
        <v>0</v>
      </c>
      <c r="M26" s="81">
        <v>0</v>
      </c>
      <c r="N26" s="82">
        <v>1</v>
      </c>
    </row>
    <row r="27" spans="2:14" ht="30" x14ac:dyDescent="0.25">
      <c r="B27" s="38">
        <v>8</v>
      </c>
      <c r="C27" s="161" t="s">
        <v>30</v>
      </c>
      <c r="D27" s="27" t="s">
        <v>31</v>
      </c>
      <c r="E27" s="45" t="s">
        <v>34</v>
      </c>
      <c r="F27" s="69">
        <v>0</v>
      </c>
      <c r="G27" s="83">
        <v>0</v>
      </c>
      <c r="H27" s="71">
        <v>0</v>
      </c>
      <c r="I27" s="75">
        <v>0</v>
      </c>
      <c r="J27" s="71">
        <v>0</v>
      </c>
      <c r="K27" s="74">
        <v>0</v>
      </c>
      <c r="L27" s="74">
        <v>0</v>
      </c>
      <c r="M27" s="74">
        <v>0</v>
      </c>
      <c r="N27" s="75">
        <v>0</v>
      </c>
    </row>
    <row r="28" spans="2:14" ht="30.75" thickBot="1" x14ac:dyDescent="0.3">
      <c r="B28" s="40">
        <v>9</v>
      </c>
      <c r="C28" s="162"/>
      <c r="D28" s="28" t="s">
        <v>32</v>
      </c>
      <c r="E28" s="46" t="s">
        <v>34</v>
      </c>
      <c r="F28" s="95">
        <f>6</f>
        <v>6</v>
      </c>
      <c r="G28" s="77">
        <f>9439</f>
        <v>9439</v>
      </c>
      <c r="H28" s="96">
        <v>1</v>
      </c>
      <c r="I28" s="79">
        <v>2305.6</v>
      </c>
      <c r="J28" s="96">
        <v>4</v>
      </c>
      <c r="K28" s="80">
        <v>5533.4</v>
      </c>
      <c r="L28" s="80">
        <v>0</v>
      </c>
      <c r="M28" s="80">
        <v>0</v>
      </c>
      <c r="N28" s="79">
        <v>4</v>
      </c>
    </row>
    <row r="29" spans="2:14" s="94" customFormat="1" ht="34.5" customHeight="1" thickBot="1" x14ac:dyDescent="0.3">
      <c r="B29" s="38">
        <v>10</v>
      </c>
      <c r="C29" s="171" t="s">
        <v>35</v>
      </c>
      <c r="D29" s="172"/>
      <c r="E29" s="173"/>
      <c r="F29" s="84">
        <f>1+1</f>
        <v>2</v>
      </c>
      <c r="G29" s="85">
        <f>5312+4000</f>
        <v>9312</v>
      </c>
      <c r="H29" s="86">
        <v>0</v>
      </c>
      <c r="I29" s="87">
        <v>0</v>
      </c>
      <c r="J29" s="84">
        <f>1+1</f>
        <v>2</v>
      </c>
      <c r="K29" s="85">
        <f>5312+4000</f>
        <v>9312</v>
      </c>
      <c r="L29" s="88">
        <f>1</f>
        <v>1</v>
      </c>
      <c r="M29" s="88">
        <v>0</v>
      </c>
      <c r="N29" s="87">
        <v>1</v>
      </c>
    </row>
    <row r="30" spans="2:14" ht="18.75" customHeight="1" thickBot="1" x14ac:dyDescent="0.3">
      <c r="B30" s="39">
        <v>11</v>
      </c>
      <c r="C30" s="174" t="s">
        <v>36</v>
      </c>
      <c r="D30" s="175"/>
      <c r="E30" s="176"/>
      <c r="F30" s="89">
        <f>F21+F23+F25+F26+F27+F28+F29</f>
        <v>304</v>
      </c>
      <c r="G30" s="90">
        <f>G21+G23+G25+G26+G27+G28+G29</f>
        <v>21829.67</v>
      </c>
      <c r="H30" s="89">
        <f t="shared" ref="H30:N30" si="0">H21+H23+H25+H26+H27+H28+H29</f>
        <v>206</v>
      </c>
      <c r="I30" s="90">
        <f t="shared" si="0"/>
        <v>3541.63</v>
      </c>
      <c r="J30" s="89">
        <f t="shared" si="0"/>
        <v>40</v>
      </c>
      <c r="K30" s="91">
        <f t="shared" si="0"/>
        <v>16227.93</v>
      </c>
      <c r="L30" s="91">
        <f t="shared" si="0"/>
        <v>20</v>
      </c>
      <c r="M30" s="91">
        <f t="shared" si="0"/>
        <v>0</v>
      </c>
      <c r="N30" s="90">
        <f t="shared" si="0"/>
        <v>20</v>
      </c>
    </row>
    <row r="31" spans="2:14" ht="15.75" thickBot="1" x14ac:dyDescent="0.3">
      <c r="B31" s="40">
        <v>12</v>
      </c>
      <c r="C31" s="177" t="s">
        <v>37</v>
      </c>
      <c r="D31" s="178"/>
      <c r="E31" s="179"/>
      <c r="F31" s="33"/>
      <c r="G31" s="34"/>
      <c r="H31" s="33"/>
      <c r="I31" s="34"/>
      <c r="J31" s="33"/>
      <c r="K31" s="35"/>
      <c r="L31" s="35"/>
      <c r="M31" s="35"/>
      <c r="N31" s="34"/>
    </row>
    <row r="45" spans="6:16" x14ac:dyDescent="0.25">
      <c r="F45" s="137"/>
      <c r="G45" s="136"/>
      <c r="H45" s="137"/>
      <c r="I45" s="136"/>
      <c r="J45" s="137"/>
      <c r="K45" s="136"/>
      <c r="L45" s="137"/>
      <c r="M45" s="137"/>
      <c r="N45" s="137"/>
      <c r="O45" s="29"/>
      <c r="P45" s="29"/>
    </row>
    <row r="46" spans="6:16" x14ac:dyDescent="0.25">
      <c r="F46" s="137"/>
      <c r="G46" s="136"/>
      <c r="H46" s="137"/>
      <c r="I46" s="136"/>
      <c r="J46" s="137"/>
      <c r="K46" s="136"/>
      <c r="L46" s="137"/>
      <c r="M46" s="137"/>
      <c r="N46" s="137"/>
      <c r="O46" s="29"/>
      <c r="P46" s="29"/>
    </row>
    <row r="47" spans="6:16" x14ac:dyDescent="0.25">
      <c r="F47" s="137"/>
      <c r="G47" s="136"/>
      <c r="H47" s="137"/>
      <c r="I47" s="136"/>
      <c r="J47" s="137"/>
      <c r="K47" s="136"/>
      <c r="L47" s="137"/>
      <c r="M47" s="137"/>
      <c r="N47" s="137"/>
      <c r="O47" s="29"/>
      <c r="P47" s="29"/>
    </row>
    <row r="48" spans="6:16" x14ac:dyDescent="0.25">
      <c r="F48" s="137"/>
      <c r="G48" s="136"/>
      <c r="H48" s="137"/>
      <c r="I48" s="136"/>
      <c r="J48" s="137"/>
      <c r="K48" s="136"/>
      <c r="L48" s="137"/>
      <c r="M48" s="137"/>
      <c r="N48" s="137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B16" zoomScale="90" zoomScaleNormal="100" zoomScaleSheetLayoutView="90" workbookViewId="0">
      <selection activeCell="R21" sqref="R21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3.7109375" customWidth="1"/>
    <col min="11" max="14" width="15" customWidth="1"/>
    <col min="15" max="18" width="13.710937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07" t="s">
        <v>69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9"/>
    </row>
    <row r="9" spans="3:18" ht="22.5" customHeight="1" x14ac:dyDescent="0.25">
      <c r="C9" s="210" t="s">
        <v>53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2"/>
    </row>
    <row r="10" spans="3:18" ht="22.5" customHeight="1" x14ac:dyDescent="0.3">
      <c r="C10" s="239" t="s">
        <v>66</v>
      </c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12"/>
      <c r="Q10" s="12"/>
      <c r="R10" s="13"/>
    </row>
    <row r="11" spans="3:18" ht="16.5" customHeight="1" x14ac:dyDescent="0.25">
      <c r="C11" s="241" t="s">
        <v>38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52" t="s">
        <v>70</v>
      </c>
      <c r="R13" s="53">
        <v>2020</v>
      </c>
    </row>
    <row r="14" spans="3:18" ht="12" customHeight="1" thickBot="1" x14ac:dyDescent="0.3">
      <c r="C14" s="7"/>
      <c r="Q14" s="68"/>
      <c r="R14" s="68"/>
    </row>
    <row r="15" spans="3:18" ht="42" customHeight="1" x14ac:dyDescent="0.25">
      <c r="C15" s="213" t="s">
        <v>16</v>
      </c>
      <c r="D15" s="215" t="s">
        <v>17</v>
      </c>
      <c r="E15" s="216"/>
      <c r="F15" s="217"/>
      <c r="G15" s="224" t="s">
        <v>43</v>
      </c>
      <c r="H15" s="225"/>
      <c r="I15" s="226" t="s">
        <v>44</v>
      </c>
      <c r="J15" s="227"/>
      <c r="K15" s="227"/>
      <c r="L15" s="227"/>
      <c r="M15" s="227"/>
      <c r="N15" s="228"/>
      <c r="O15" s="224" t="s">
        <v>45</v>
      </c>
      <c r="P15" s="225"/>
      <c r="Q15" s="224" t="s">
        <v>46</v>
      </c>
      <c r="R15" s="225"/>
    </row>
    <row r="16" spans="3:18" ht="15" customHeight="1" x14ac:dyDescent="0.25">
      <c r="C16" s="214"/>
      <c r="D16" s="218"/>
      <c r="E16" s="219"/>
      <c r="F16" s="220"/>
      <c r="G16" s="190" t="s">
        <v>19</v>
      </c>
      <c r="H16" s="229" t="s">
        <v>20</v>
      </c>
      <c r="I16" s="190" t="s">
        <v>19</v>
      </c>
      <c r="J16" s="248" t="s">
        <v>20</v>
      </c>
      <c r="K16" s="236" t="s">
        <v>42</v>
      </c>
      <c r="L16" s="237"/>
      <c r="M16" s="237"/>
      <c r="N16" s="238"/>
      <c r="O16" s="190" t="s">
        <v>19</v>
      </c>
      <c r="P16" s="229" t="s">
        <v>20</v>
      </c>
      <c r="Q16" s="190" t="s">
        <v>19</v>
      </c>
      <c r="R16" s="229" t="s">
        <v>20</v>
      </c>
    </row>
    <row r="17" spans="2:18" ht="15" customHeight="1" x14ac:dyDescent="0.25">
      <c r="C17" s="214"/>
      <c r="D17" s="218"/>
      <c r="E17" s="219"/>
      <c r="F17" s="220"/>
      <c r="G17" s="191"/>
      <c r="H17" s="230"/>
      <c r="I17" s="191"/>
      <c r="J17" s="249"/>
      <c r="K17" s="152" t="s">
        <v>41</v>
      </c>
      <c r="L17" s="233" t="s">
        <v>26</v>
      </c>
      <c r="M17" s="234"/>
      <c r="N17" s="235"/>
      <c r="O17" s="191"/>
      <c r="P17" s="230"/>
      <c r="Q17" s="191"/>
      <c r="R17" s="230"/>
    </row>
    <row r="18" spans="2:18" ht="87" customHeight="1" x14ac:dyDescent="0.25">
      <c r="C18" s="214"/>
      <c r="D18" s="221"/>
      <c r="E18" s="222"/>
      <c r="F18" s="223"/>
      <c r="G18" s="192"/>
      <c r="H18" s="231"/>
      <c r="I18" s="192"/>
      <c r="J18" s="250"/>
      <c r="K18" s="232"/>
      <c r="L18" s="92" t="s">
        <v>39</v>
      </c>
      <c r="M18" s="92" t="s">
        <v>63</v>
      </c>
      <c r="N18" s="93" t="s">
        <v>40</v>
      </c>
      <c r="O18" s="192"/>
      <c r="P18" s="231"/>
      <c r="Q18" s="192"/>
      <c r="R18" s="231"/>
    </row>
    <row r="19" spans="2:18" s="7" customFormat="1" ht="15.75" thickBot="1" x14ac:dyDescent="0.3">
      <c r="C19" s="214"/>
      <c r="D19" s="243">
        <v>1</v>
      </c>
      <c r="E19" s="244"/>
      <c r="F19" s="245"/>
      <c r="G19" s="66">
        <v>2</v>
      </c>
      <c r="H19" s="67">
        <v>3</v>
      </c>
      <c r="I19" s="97">
        <v>4</v>
      </c>
      <c r="J19" s="98">
        <v>5</v>
      </c>
      <c r="K19" s="98">
        <v>6</v>
      </c>
      <c r="L19" s="98">
        <v>7</v>
      </c>
      <c r="M19" s="98">
        <v>8</v>
      </c>
      <c r="N19" s="99">
        <v>9</v>
      </c>
      <c r="O19" s="66">
        <v>10</v>
      </c>
      <c r="P19" s="67">
        <v>11</v>
      </c>
      <c r="Q19" s="66">
        <v>12</v>
      </c>
      <c r="R19" s="67">
        <v>13</v>
      </c>
    </row>
    <row r="20" spans="2:18" ht="44.25" customHeight="1" x14ac:dyDescent="0.25">
      <c r="C20" s="24">
        <v>1</v>
      </c>
      <c r="D20" s="193" t="s">
        <v>28</v>
      </c>
      <c r="E20" s="196" t="s">
        <v>31</v>
      </c>
      <c r="F20" s="61" t="s">
        <v>33</v>
      </c>
      <c r="G20" s="100">
        <f>65+10+21+13+32+74+8+34+48+49+63+93+34+13+13+65+155+5+21</f>
        <v>816</v>
      </c>
      <c r="H20" s="101">
        <f>43.81+351.19+105+44.727+143.14+608+38+162+180+227.4+261+380.12+165.22+49.09+57.55+258.83+793.41+17.77+105</f>
        <v>3991.2569999999996</v>
      </c>
      <c r="I20" s="102">
        <f>20+18+27+41</f>
        <v>106</v>
      </c>
      <c r="J20" s="103">
        <f>95+87+149+197</f>
        <v>528</v>
      </c>
      <c r="K20" s="103">
        <v>20</v>
      </c>
      <c r="L20" s="103">
        <f>18+27</f>
        <v>45</v>
      </c>
      <c r="M20" s="103">
        <v>26</v>
      </c>
      <c r="N20" s="104">
        <v>15</v>
      </c>
      <c r="O20" s="100">
        <f>11+63+35+14+33+66+11+37+40+36+60+37+13+9+11+64+48+5+41</f>
        <v>634</v>
      </c>
      <c r="P20" s="101">
        <f>155.89+55+269.35+48.59+147.94+278+52+172.76+157+147.96+246+142.11+60.76+35.93+47.14+237.1+227+17.77+205</f>
        <v>2703.3</v>
      </c>
      <c r="Q20" s="100">
        <f>49+10+12+9+16+31+22+29+15+30+9+27+34+15+17+45+123+6+39</f>
        <v>538</v>
      </c>
      <c r="R20" s="101">
        <f>315+50+53.43+33.46+62.34+132+204+117.72+61+141.1+35+113.85+123.217+56.57+66.01+204.18+615+28.5+195</f>
        <v>2607.377</v>
      </c>
    </row>
    <row r="21" spans="2:18" ht="44.25" customHeight="1" x14ac:dyDescent="0.25">
      <c r="C21" s="25">
        <v>2</v>
      </c>
      <c r="D21" s="194"/>
      <c r="E21" s="197"/>
      <c r="F21" s="62" t="s">
        <v>34</v>
      </c>
      <c r="G21" s="105">
        <f>87+89+30+12+43+24+11+28+12+7+55+12+22+31+26+4+80+133+155</f>
        <v>861</v>
      </c>
      <c r="H21" s="106">
        <f>437.65+324.19+382.64+69.75+243.43+108.4+49+161+52+54.63+269+57.04+116.12+147.74+98.14+17.27+320+600+896</f>
        <v>4404</v>
      </c>
      <c r="I21" s="102">
        <f>8+3+4+3+17</f>
        <v>35</v>
      </c>
      <c r="J21" s="107">
        <f>36+18.4+18+108</f>
        <v>180.4</v>
      </c>
      <c r="K21" s="107">
        <f>6+13</f>
        <v>19</v>
      </c>
      <c r="L21" s="107">
        <f>4</f>
        <v>4</v>
      </c>
      <c r="M21" s="107">
        <f>1</f>
        <v>1</v>
      </c>
      <c r="N21" s="108">
        <f>4+4+3</f>
        <v>11</v>
      </c>
      <c r="O21" s="105">
        <f>69+28+14+35+21+18+27+12+7+51+51+29+19+28+26+66+5+76+81</f>
        <v>663</v>
      </c>
      <c r="P21" s="106">
        <f>304.51+155.6+78.99+160.17+90+85+138.06+52+54.63+251+210.86+138.78+96.55+133.49+98.14+344.44+17.27+265+473</f>
        <v>3147.4900000000002</v>
      </c>
      <c r="Q21" s="105">
        <f>49+40+13+6+21+18+25+40+14+2+1+16+22+11+10+21+1+17+57</f>
        <v>384</v>
      </c>
      <c r="R21" s="106">
        <f>220.5+161.1+69.6+23.19+104+174.05+63+10+4+65.3+74.905+43.55+83.78+95.71+4.83+73+303</f>
        <v>1573.5149999999999</v>
      </c>
    </row>
    <row r="22" spans="2:18" ht="44.25" customHeight="1" x14ac:dyDescent="0.25">
      <c r="C22" s="25">
        <v>3</v>
      </c>
      <c r="D22" s="194"/>
      <c r="E22" s="246" t="s">
        <v>32</v>
      </c>
      <c r="F22" s="63" t="s">
        <v>33</v>
      </c>
      <c r="G22" s="105">
        <f>2+1+2+4+2+14</f>
        <v>25</v>
      </c>
      <c r="H22" s="106">
        <f>29.76+5+42.94+24.5+21.05+150.32</f>
        <v>273.57</v>
      </c>
      <c r="I22" s="102">
        <f>1+1+1+2</f>
        <v>5</v>
      </c>
      <c r="J22" s="107">
        <f>14.86+5+17.1+11.8-1</f>
        <v>47.760000000000005</v>
      </c>
      <c r="K22" s="107">
        <v>4</v>
      </c>
      <c r="L22" s="107">
        <v>0</v>
      </c>
      <c r="M22" s="107">
        <v>1</v>
      </c>
      <c r="N22" s="108">
        <v>0</v>
      </c>
      <c r="O22" s="105">
        <f>1+1+3+2+2</f>
        <v>9</v>
      </c>
      <c r="P22" s="106">
        <f>4.99+4.92+14.7+9.37+21.05</f>
        <v>55.03</v>
      </c>
      <c r="Q22" s="105">
        <f>1+1+1+1+1</f>
        <v>5</v>
      </c>
      <c r="R22" s="106">
        <f>4+15+3.94+4.43</f>
        <v>27.37</v>
      </c>
    </row>
    <row r="23" spans="2:18" ht="44.25" customHeight="1" thickBot="1" x14ac:dyDescent="0.3">
      <c r="C23" s="26">
        <v>4</v>
      </c>
      <c r="D23" s="195"/>
      <c r="E23" s="247"/>
      <c r="F23" s="64" t="s">
        <v>34</v>
      </c>
      <c r="G23" s="105">
        <f>2+2+1+2+3+15</f>
        <v>25</v>
      </c>
      <c r="H23" s="109">
        <f>59.46+29.11+12.96+61+15+88-1</f>
        <v>264.52999999999997</v>
      </c>
      <c r="I23" s="102">
        <f>1+2+12</f>
        <v>15</v>
      </c>
      <c r="J23" s="107">
        <f>12.96+7+60</f>
        <v>79.960000000000008</v>
      </c>
      <c r="K23" s="107">
        <f>1+2+12</f>
        <v>15</v>
      </c>
      <c r="L23" s="107">
        <v>0</v>
      </c>
      <c r="M23" s="107">
        <v>0</v>
      </c>
      <c r="N23" s="108">
        <v>0</v>
      </c>
      <c r="O23" s="110">
        <f>1+1+1</f>
        <v>3</v>
      </c>
      <c r="P23" s="109">
        <f>2+39+8</f>
        <v>49</v>
      </c>
      <c r="Q23" s="110">
        <f>1</f>
        <v>1</v>
      </c>
      <c r="R23" s="109">
        <f>3</f>
        <v>3</v>
      </c>
    </row>
    <row r="24" spans="2:18" ht="44.25" customHeight="1" x14ac:dyDescent="0.25">
      <c r="B24" s="7">
        <f>21</f>
        <v>21</v>
      </c>
      <c r="C24" s="24">
        <v>5</v>
      </c>
      <c r="D24" s="193" t="s">
        <v>29</v>
      </c>
      <c r="E24" s="27" t="s">
        <v>31</v>
      </c>
      <c r="F24" s="65" t="s">
        <v>34</v>
      </c>
      <c r="G24" s="100">
        <f>6+150+6</f>
        <v>162</v>
      </c>
      <c r="H24" s="101">
        <f>87.5+6180+2439+600+164</f>
        <v>9470.5</v>
      </c>
      <c r="I24" s="111">
        <v>1</v>
      </c>
      <c r="J24" s="112">
        <f>87.5</f>
        <v>87.5</v>
      </c>
      <c r="K24" s="112">
        <v>0</v>
      </c>
      <c r="L24" s="112">
        <v>1</v>
      </c>
      <c r="M24" s="112">
        <v>0</v>
      </c>
      <c r="N24" s="113">
        <v>0</v>
      </c>
      <c r="O24" s="100">
        <f>1+1</f>
        <v>2</v>
      </c>
      <c r="P24" s="101">
        <f>138.27+40.8</f>
        <v>179.07</v>
      </c>
      <c r="Q24" s="100">
        <v>5</v>
      </c>
      <c r="R24" s="101">
        <v>104.6</v>
      </c>
    </row>
    <row r="25" spans="2:18" ht="44.25" customHeight="1" thickBot="1" x14ac:dyDescent="0.3">
      <c r="C25" s="26">
        <v>6</v>
      </c>
      <c r="D25" s="195"/>
      <c r="E25" s="28" t="s">
        <v>32</v>
      </c>
      <c r="F25" s="64" t="s">
        <v>34</v>
      </c>
      <c r="G25" s="110">
        <f>1+1+2+2+1+1+1+1+1+7+1+2+2+1+5</f>
        <v>29</v>
      </c>
      <c r="H25" s="109">
        <f>245.9+180+232.42+5+176.8+2396.28+2396.28+3376.32+341.96+7449+300+468.57+361.2+118.38+535</f>
        <v>18583.11</v>
      </c>
      <c r="I25" s="114">
        <f>5+1</f>
        <v>6</v>
      </c>
      <c r="J25" s="115">
        <f>206+249+255+262+106-238+65</f>
        <v>905</v>
      </c>
      <c r="K25" s="115">
        <f>1+2+1</f>
        <v>4</v>
      </c>
      <c r="L25" s="115">
        <f>2</f>
        <v>2</v>
      </c>
      <c r="M25" s="115">
        <v>0</v>
      </c>
      <c r="N25" s="116">
        <v>0</v>
      </c>
      <c r="O25" s="110">
        <f>4+5</f>
        <v>9</v>
      </c>
      <c r="P25" s="109">
        <f>5707.55+444.95</f>
        <v>6152.5</v>
      </c>
      <c r="Q25" s="110">
        <v>2</v>
      </c>
      <c r="R25" s="109">
        <f>93.82+77</f>
        <v>170.82</v>
      </c>
    </row>
    <row r="26" spans="2:18" ht="44.25" customHeight="1" x14ac:dyDescent="0.25">
      <c r="C26" s="24">
        <v>7</v>
      </c>
      <c r="D26" s="193" t="s">
        <v>30</v>
      </c>
      <c r="E26" s="27" t="s">
        <v>31</v>
      </c>
      <c r="F26" s="45" t="s">
        <v>34</v>
      </c>
      <c r="G26" s="117">
        <f>1+1+1</f>
        <v>3</v>
      </c>
      <c r="H26" s="118">
        <f>2000+3.8+4000</f>
        <v>6003.8</v>
      </c>
      <c r="I26" s="111">
        <v>1</v>
      </c>
      <c r="J26" s="112">
        <f>4000</f>
        <v>4000</v>
      </c>
      <c r="K26" s="112">
        <v>0</v>
      </c>
      <c r="L26" s="112">
        <v>1</v>
      </c>
      <c r="M26" s="112">
        <v>0</v>
      </c>
      <c r="N26" s="119">
        <v>0</v>
      </c>
      <c r="O26" s="117">
        <v>1</v>
      </c>
      <c r="P26" s="118">
        <v>275.10000000000002</v>
      </c>
      <c r="Q26" s="117">
        <v>6</v>
      </c>
      <c r="R26" s="118">
        <f>15.12+212</f>
        <v>227.12</v>
      </c>
    </row>
    <row r="27" spans="2:18" ht="44.25" customHeight="1" thickBot="1" x14ac:dyDescent="0.3">
      <c r="C27" s="26">
        <v>8</v>
      </c>
      <c r="D27" s="195"/>
      <c r="E27" s="28" t="s">
        <v>32</v>
      </c>
      <c r="F27" s="46" t="s">
        <v>34</v>
      </c>
      <c r="G27" s="105">
        <f>1+1+1+1+1+1+1+1</f>
        <v>8</v>
      </c>
      <c r="H27" s="106">
        <f>2305.6+385+249.6+1300+1301+2866.86+808+40.28</f>
        <v>9256.34</v>
      </c>
      <c r="I27" s="114">
        <v>4</v>
      </c>
      <c r="J27" s="115">
        <f>249.6+1301+1300+2866.8</f>
        <v>5717.4</v>
      </c>
      <c r="K27" s="115">
        <v>1</v>
      </c>
      <c r="L27" s="115">
        <v>3</v>
      </c>
      <c r="M27" s="115">
        <v>0</v>
      </c>
      <c r="N27" s="109">
        <v>0</v>
      </c>
      <c r="O27" s="110">
        <v>0</v>
      </c>
      <c r="P27" s="109">
        <v>0</v>
      </c>
      <c r="Q27" s="110">
        <f>2</f>
        <v>2</v>
      </c>
      <c r="R27" s="109">
        <v>949.17</v>
      </c>
    </row>
    <row r="28" spans="2:18" ht="51.75" customHeight="1" x14ac:dyDescent="0.25">
      <c r="C28" s="24">
        <v>9</v>
      </c>
      <c r="D28" s="193" t="s">
        <v>35</v>
      </c>
      <c r="E28" s="201" t="s">
        <v>47</v>
      </c>
      <c r="F28" s="202"/>
      <c r="G28" s="100">
        <f>3+1</f>
        <v>4</v>
      </c>
      <c r="H28" s="101">
        <f>1266.26+1705+505+785</f>
        <v>4261.26</v>
      </c>
      <c r="I28" s="111">
        <f>1+1</f>
        <v>2</v>
      </c>
      <c r="J28" s="112">
        <f>1705+785</f>
        <v>2490</v>
      </c>
      <c r="K28" s="112">
        <f>1+1</f>
        <v>2</v>
      </c>
      <c r="L28" s="107">
        <v>0</v>
      </c>
      <c r="M28" s="107">
        <v>0</v>
      </c>
      <c r="N28" s="106">
        <v>0</v>
      </c>
      <c r="O28" s="105">
        <v>0</v>
      </c>
      <c r="P28" s="106">
        <v>0</v>
      </c>
      <c r="Q28" s="108">
        <f>1</f>
        <v>1</v>
      </c>
      <c r="R28" s="106">
        <f>517.54</f>
        <v>517.54</v>
      </c>
    </row>
    <row r="29" spans="2:18" ht="23.25" customHeight="1" x14ac:dyDescent="0.25">
      <c r="C29" s="25">
        <v>10</v>
      </c>
      <c r="D29" s="194"/>
      <c r="E29" s="203" t="s">
        <v>48</v>
      </c>
      <c r="F29" s="204"/>
      <c r="G29" s="105">
        <v>0</v>
      </c>
      <c r="H29" s="106">
        <v>0</v>
      </c>
      <c r="I29" s="120">
        <v>0</v>
      </c>
      <c r="J29" s="107">
        <v>0</v>
      </c>
      <c r="K29" s="107">
        <v>0</v>
      </c>
      <c r="L29" s="107">
        <v>0</v>
      </c>
      <c r="M29" s="107">
        <v>0</v>
      </c>
      <c r="N29" s="106">
        <v>0</v>
      </c>
      <c r="O29" s="105">
        <v>0</v>
      </c>
      <c r="P29" s="106">
        <v>0</v>
      </c>
      <c r="Q29" s="108">
        <v>0</v>
      </c>
      <c r="R29" s="106">
        <v>0</v>
      </c>
    </row>
    <row r="30" spans="2:18" ht="50.25" customHeight="1" x14ac:dyDescent="0.25">
      <c r="C30" s="25">
        <v>11</v>
      </c>
      <c r="D30" s="194"/>
      <c r="E30" s="203" t="s">
        <v>49</v>
      </c>
      <c r="F30" s="204"/>
      <c r="G30" s="105">
        <v>0</v>
      </c>
      <c r="H30" s="106">
        <v>0</v>
      </c>
      <c r="I30" s="121">
        <v>0</v>
      </c>
      <c r="J30" s="103">
        <v>0</v>
      </c>
      <c r="K30" s="103">
        <v>0</v>
      </c>
      <c r="L30" s="103">
        <v>0</v>
      </c>
      <c r="M30" s="103">
        <v>0</v>
      </c>
      <c r="N30" s="106">
        <v>0</v>
      </c>
      <c r="O30" s="105">
        <v>0</v>
      </c>
      <c r="P30" s="106">
        <v>0</v>
      </c>
      <c r="Q30" s="108">
        <f>1+1</f>
        <v>2</v>
      </c>
      <c r="R30" s="106">
        <f>111.58+36.4</f>
        <v>147.97999999999999</v>
      </c>
    </row>
    <row r="31" spans="2:18" ht="25.5" customHeight="1" x14ac:dyDescent="0.25">
      <c r="C31" s="25">
        <v>12</v>
      </c>
      <c r="D31" s="194"/>
      <c r="E31" s="203" t="s">
        <v>50</v>
      </c>
      <c r="F31" s="204"/>
      <c r="G31" s="105">
        <v>0</v>
      </c>
      <c r="H31" s="106">
        <v>0</v>
      </c>
      <c r="I31" s="120">
        <v>0</v>
      </c>
      <c r="J31" s="107">
        <v>0</v>
      </c>
      <c r="K31" s="107">
        <v>0</v>
      </c>
      <c r="L31" s="107">
        <v>0</v>
      </c>
      <c r="M31" s="107">
        <v>0</v>
      </c>
      <c r="N31" s="106">
        <v>0</v>
      </c>
      <c r="O31" s="105">
        <v>1</v>
      </c>
      <c r="P31" s="106">
        <v>808</v>
      </c>
      <c r="Q31" s="108">
        <v>0</v>
      </c>
      <c r="R31" s="107">
        <v>0</v>
      </c>
    </row>
    <row r="32" spans="2:18" ht="50.25" customHeight="1" x14ac:dyDescent="0.25">
      <c r="C32" s="25">
        <v>13</v>
      </c>
      <c r="D32" s="194"/>
      <c r="E32" s="203" t="s">
        <v>51</v>
      </c>
      <c r="F32" s="204"/>
      <c r="G32" s="105">
        <v>0</v>
      </c>
      <c r="H32" s="106">
        <v>0</v>
      </c>
      <c r="I32" s="121">
        <v>0</v>
      </c>
      <c r="J32" s="103">
        <v>0</v>
      </c>
      <c r="K32" s="103">
        <v>0</v>
      </c>
      <c r="L32" s="103">
        <v>0</v>
      </c>
      <c r="M32" s="103">
        <v>0</v>
      </c>
      <c r="N32" s="106">
        <v>0</v>
      </c>
      <c r="O32" s="117">
        <v>0</v>
      </c>
      <c r="P32" s="118">
        <v>0</v>
      </c>
      <c r="Q32" s="104">
        <v>0</v>
      </c>
      <c r="R32" s="118">
        <v>0</v>
      </c>
    </row>
    <row r="33" spans="3:18" ht="50.25" customHeight="1" thickBot="1" x14ac:dyDescent="0.3">
      <c r="C33" s="26">
        <v>14</v>
      </c>
      <c r="D33" s="195"/>
      <c r="E33" s="205" t="s">
        <v>52</v>
      </c>
      <c r="F33" s="206"/>
      <c r="G33" s="105">
        <f>3</f>
        <v>3</v>
      </c>
      <c r="H33" s="106">
        <f>592.5</f>
        <v>592.5</v>
      </c>
      <c r="I33" s="114">
        <v>0</v>
      </c>
      <c r="J33" s="115">
        <v>0</v>
      </c>
      <c r="K33" s="115">
        <v>0</v>
      </c>
      <c r="L33" s="115">
        <v>0</v>
      </c>
      <c r="M33" s="115">
        <v>0</v>
      </c>
      <c r="N33" s="109">
        <v>0</v>
      </c>
      <c r="O33" s="110">
        <f>1</f>
        <v>1</v>
      </c>
      <c r="P33" s="109">
        <f>44</f>
        <v>44</v>
      </c>
      <c r="Q33" s="116">
        <v>0</v>
      </c>
      <c r="R33" s="109">
        <v>0</v>
      </c>
    </row>
    <row r="34" spans="3:18" ht="21" customHeight="1" thickBot="1" x14ac:dyDescent="0.3">
      <c r="C34" s="58">
        <v>15</v>
      </c>
      <c r="D34" s="198" t="s">
        <v>36</v>
      </c>
      <c r="E34" s="199"/>
      <c r="F34" s="200"/>
      <c r="G34" s="59">
        <f>SUM(G20:G33)</f>
        <v>1936</v>
      </c>
      <c r="H34" s="59">
        <f t="shared" ref="H34:L34" si="0">SUM(H20:H33)</f>
        <v>57100.867000000006</v>
      </c>
      <c r="I34" s="59">
        <f t="shared" si="0"/>
        <v>175</v>
      </c>
      <c r="J34" s="59">
        <f t="shared" si="0"/>
        <v>14036.02</v>
      </c>
      <c r="K34" s="59">
        <f t="shared" si="0"/>
        <v>65</v>
      </c>
      <c r="L34" s="59">
        <f t="shared" si="0"/>
        <v>56</v>
      </c>
      <c r="M34" s="59">
        <f t="shared" ref="M34:R34" si="1">SUM(M20:M33)</f>
        <v>28</v>
      </c>
      <c r="N34" s="59">
        <f t="shared" si="1"/>
        <v>26</v>
      </c>
      <c r="O34" s="59">
        <f t="shared" si="1"/>
        <v>1323</v>
      </c>
      <c r="P34" s="59">
        <f t="shared" si="1"/>
        <v>13413.49</v>
      </c>
      <c r="Q34" s="59">
        <f t="shared" si="1"/>
        <v>946</v>
      </c>
      <c r="R34" s="60">
        <f t="shared" si="1"/>
        <v>6328.4919999999993</v>
      </c>
    </row>
    <row r="35" spans="3:18" x14ac:dyDescent="0.25">
      <c r="J35" s="122"/>
    </row>
    <row r="38" spans="3:18" x14ac:dyDescent="0.25">
      <c r="G38" s="122"/>
      <c r="H38" s="122"/>
    </row>
    <row r="46" spans="3:18" x14ac:dyDescent="0.25">
      <c r="C46" t="s">
        <v>71</v>
      </c>
    </row>
    <row r="47" spans="3:18" x14ac:dyDescent="0.25">
      <c r="C47" s="122">
        <v>1729</v>
      </c>
      <c r="D47" s="122">
        <v>53896.087000000007</v>
      </c>
      <c r="E47" s="122">
        <v>144</v>
      </c>
      <c r="F47" s="122">
        <v>13019.02</v>
      </c>
      <c r="G47" s="122">
        <v>38</v>
      </c>
    </row>
    <row r="49" spans="3:18" x14ac:dyDescent="0.25">
      <c r="C49" t="s">
        <v>72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3:18" x14ac:dyDescent="0.25">
      <c r="C50">
        <v>207</v>
      </c>
      <c r="D50">
        <v>3205.66</v>
      </c>
      <c r="E50">
        <v>31</v>
      </c>
      <c r="F50">
        <v>1017.85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3:18" x14ac:dyDescent="0.25"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3:18" x14ac:dyDescent="0.25"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3:18" x14ac:dyDescent="0.25"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3:18" x14ac:dyDescent="0.25"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54"/>
    </row>
    <row r="55" spans="3:18" x14ac:dyDescent="0.25"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54"/>
    </row>
    <row r="56" spans="3:18" x14ac:dyDescent="0.25"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3:18" x14ac:dyDescent="0.25"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3:18" x14ac:dyDescent="0.25"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3:18" x14ac:dyDescent="0.25"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3:18" x14ac:dyDescent="0.25"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3:18" x14ac:dyDescent="0.25">
      <c r="G61" s="55"/>
      <c r="H61" s="56"/>
      <c r="I61" s="55"/>
      <c r="J61" s="55"/>
      <c r="K61" s="55"/>
      <c r="L61" s="55"/>
      <c r="M61" s="55"/>
      <c r="N61" s="55"/>
      <c r="O61" s="55"/>
      <c r="P61" s="55"/>
      <c r="Q61" s="55"/>
      <c r="R61" s="55"/>
    </row>
    <row r="62" spans="3:18" x14ac:dyDescent="0.25">
      <c r="G62" s="55"/>
      <c r="H62" s="56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spans="3:18" x14ac:dyDescent="0.25">
      <c r="G63" s="55"/>
      <c r="H63" s="56"/>
      <c r="I63" s="55"/>
      <c r="J63" s="55"/>
      <c r="K63" s="55"/>
      <c r="L63" s="55"/>
      <c r="M63" s="55"/>
      <c r="N63" s="55"/>
      <c r="O63" s="55"/>
      <c r="P63" s="55"/>
      <c r="Q63" s="55"/>
      <c r="R63" s="55"/>
    </row>
    <row r="64" spans="3:18" x14ac:dyDescent="0.25">
      <c r="G64" s="55"/>
      <c r="H64" s="56"/>
      <c r="I64" s="55"/>
      <c r="J64" s="55"/>
      <c r="K64" s="55"/>
      <c r="L64" s="55"/>
      <c r="M64" s="55"/>
      <c r="N64" s="55"/>
      <c r="O64" s="55"/>
      <c r="P64" s="55"/>
      <c r="Q64" s="55"/>
      <c r="R64" s="55"/>
    </row>
    <row r="65" spans="7:18" x14ac:dyDescent="0.25">
      <c r="G65" s="55"/>
      <c r="H65" s="56"/>
      <c r="I65" s="55"/>
      <c r="J65" s="55"/>
      <c r="K65" s="55"/>
      <c r="L65" s="55"/>
      <c r="M65" s="55"/>
      <c r="N65" s="55"/>
      <c r="O65" s="55"/>
      <c r="P65" s="55"/>
      <c r="Q65" s="55"/>
      <c r="R65" s="55"/>
    </row>
    <row r="66" spans="7:18" x14ac:dyDescent="0.25"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7:18" x14ac:dyDescent="0.25"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7:18" x14ac:dyDescent="0.25"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7:18" x14ac:dyDescent="0.25"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7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7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2020-11-10T10:17:49Z</dcterms:modified>
</cp:coreProperties>
</file>